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frij.sharepoint.com/sites/DptConseils/Documents partages/2000_0/Divers documents/"/>
    </mc:Choice>
  </mc:AlternateContent>
  <xr:revisionPtr revIDLastSave="1" documentId="8_{528F91C5-8431-4169-A293-E43A7420A2E0}" xr6:coauthVersionLast="47" xr6:coauthVersionMax="47" xr10:uidLastSave="{1314D6DC-DC06-4DD3-85FC-C007AFCA277E}"/>
  <bookViews>
    <workbookView xWindow="-120" yWindow="-120" windowWidth="29040" windowHeight="15720" firstSheet="2" activeTab="7" xr2:uid="{CC102B15-8E71-49F2-BE40-92F6F04A052E}"/>
  </bookViews>
  <sheets>
    <sheet name="Simulation A1" sheetId="10" r:id="rId1"/>
    <sheet name="Simulation A2" sheetId="12" r:id="rId2"/>
    <sheet name="Simulation B1" sheetId="14" r:id="rId3"/>
    <sheet name="Simulation B2" sheetId="13" r:id="rId4"/>
    <sheet name="Simulation B3" sheetId="16" r:id="rId5"/>
    <sheet name="Simulation B4" sheetId="17" r:id="rId6"/>
    <sheet name="Synthése des impact des options" sheetId="8" r:id="rId7"/>
    <sheet name="Synthése des scénarios" sheetId="15" r:id="rId8"/>
    <sheet name="Solde de lait à traire" sheetId="2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12" l="1"/>
  <c r="D108" i="14"/>
  <c r="D108" i="13"/>
  <c r="F115" i="10"/>
  <c r="F69" i="17" l="1"/>
  <c r="F69" i="16"/>
  <c r="F69" i="13"/>
  <c r="F69" i="14"/>
  <c r="F69" i="12"/>
  <c r="D69" i="17"/>
  <c r="D69" i="16"/>
  <c r="D69" i="13"/>
  <c r="D69" i="14"/>
  <c r="D69" i="12"/>
  <c r="D54" i="17"/>
  <c r="D54" i="16"/>
  <c r="D54" i="13"/>
  <c r="D54" i="14"/>
  <c r="D54" i="12"/>
  <c r="D53" i="17"/>
  <c r="D53" i="16"/>
  <c r="D53" i="13"/>
  <c r="D53" i="14"/>
  <c r="D53" i="12"/>
  <c r="D52" i="17"/>
  <c r="D52" i="16"/>
  <c r="D52" i="13"/>
  <c r="D52" i="14"/>
  <c r="D52" i="12"/>
  <c r="F18" i="12"/>
  <c r="F18" i="17" l="1"/>
  <c r="F18" i="16"/>
  <c r="F18" i="13"/>
  <c r="F18" i="14"/>
  <c r="E6" i="12"/>
  <c r="F125" i="17" l="1"/>
  <c r="F125" i="16"/>
  <c r="F125" i="13"/>
  <c r="F125" i="14"/>
  <c r="F125" i="12"/>
  <c r="F124" i="17"/>
  <c r="F124" i="16"/>
  <c r="F124" i="13"/>
  <c r="F124" i="14"/>
  <c r="F124" i="12"/>
  <c r="F119" i="17"/>
  <c r="F119" i="16"/>
  <c r="F119" i="13"/>
  <c r="F119" i="14"/>
  <c r="F119" i="12"/>
  <c r="F118" i="17"/>
  <c r="F118" i="16"/>
  <c r="F118" i="13"/>
  <c r="F118" i="14"/>
  <c r="F118" i="12"/>
  <c r="D118" i="17"/>
  <c r="D118" i="16"/>
  <c r="D118" i="13"/>
  <c r="D118" i="14"/>
  <c r="D118" i="12"/>
  <c r="D108" i="17"/>
  <c r="F115" i="17" s="1"/>
  <c r="D108" i="16"/>
  <c r="F115" i="16" s="1"/>
  <c r="F115" i="13"/>
  <c r="F115" i="14"/>
  <c r="F115" i="12"/>
  <c r="D106" i="17"/>
  <c r="D106" i="16"/>
  <c r="D106" i="13"/>
  <c r="D106" i="14"/>
  <c r="D106" i="12"/>
  <c r="F86" i="17"/>
  <c r="F86" i="16"/>
  <c r="F86" i="13"/>
  <c r="F86" i="14"/>
  <c r="F86" i="12"/>
  <c r="F84" i="17"/>
  <c r="F84" i="16"/>
  <c r="F84" i="13"/>
  <c r="F84" i="14"/>
  <c r="F84" i="12"/>
  <c r="F83" i="17"/>
  <c r="F83" i="16"/>
  <c r="F83" i="13"/>
  <c r="F83" i="14"/>
  <c r="F83" i="12"/>
  <c r="F82" i="17"/>
  <c r="F82" i="16"/>
  <c r="F82" i="13"/>
  <c r="F82" i="14"/>
  <c r="F82" i="12"/>
  <c r="G73" i="17"/>
  <c r="G73" i="16"/>
  <c r="G73" i="13"/>
  <c r="G73" i="14"/>
  <c r="G73" i="12"/>
  <c r="G72" i="17"/>
  <c r="G72" i="16"/>
  <c r="G72" i="14"/>
  <c r="G72" i="13"/>
  <c r="G72" i="12"/>
  <c r="F70" i="17"/>
  <c r="F70" i="16"/>
  <c r="F70" i="13"/>
  <c r="F70" i="14"/>
  <c r="F70" i="12"/>
  <c r="D70" i="17"/>
  <c r="D70" i="16"/>
  <c r="D70" i="13"/>
  <c r="D70" i="14"/>
  <c r="D70" i="12"/>
  <c r="F68" i="17"/>
  <c r="F68" i="16"/>
  <c r="F68" i="13"/>
  <c r="F68" i="14"/>
  <c r="F68" i="12"/>
  <c r="F67" i="12"/>
  <c r="D68" i="17"/>
  <c r="D68" i="16"/>
  <c r="D68" i="13"/>
  <c r="D68" i="14"/>
  <c r="D68" i="12"/>
  <c r="D67" i="12"/>
  <c r="F67" i="17"/>
  <c r="F67" i="16"/>
  <c r="F67" i="13"/>
  <c r="F67" i="14"/>
  <c r="D67" i="17"/>
  <c r="D67" i="16"/>
  <c r="D67" i="13"/>
  <c r="D67" i="14"/>
  <c r="D62" i="17"/>
  <c r="D62" i="16"/>
  <c r="D62" i="13"/>
  <c r="D62" i="14"/>
  <c r="D62" i="12"/>
  <c r="F19" i="17"/>
  <c r="F19" i="16"/>
  <c r="F19" i="13"/>
  <c r="F19" i="14"/>
  <c r="F19" i="12"/>
  <c r="E8" i="17"/>
  <c r="E8" i="16"/>
  <c r="E8" i="13"/>
  <c r="E8" i="14"/>
  <c r="E8" i="12"/>
  <c r="E7" i="17"/>
  <c r="E7" i="16"/>
  <c r="E7" i="13"/>
  <c r="E7" i="14"/>
  <c r="E7" i="12"/>
  <c r="K6" i="12"/>
  <c r="K8" i="10" l="1"/>
  <c r="K7" i="10"/>
  <c r="K7" i="12" s="1"/>
  <c r="F117" i="12" s="1"/>
  <c r="G117" i="12" s="1"/>
  <c r="K6" i="10"/>
  <c r="K6" i="16" s="1"/>
  <c r="A3" i="17"/>
  <c r="A3" i="16"/>
  <c r="A3" i="13"/>
  <c r="A3" i="14"/>
  <c r="A3" i="12"/>
  <c r="K8" i="17"/>
  <c r="K6" i="17"/>
  <c r="K8" i="16"/>
  <c r="K8" i="13"/>
  <c r="K6" i="13"/>
  <c r="K8" i="14"/>
  <c r="K6" i="14"/>
  <c r="K8" i="12"/>
  <c r="K5" i="12"/>
  <c r="G69" i="13"/>
  <c r="E32" i="16"/>
  <c r="G69" i="17"/>
  <c r="G69" i="12"/>
  <c r="F114" i="14"/>
  <c r="G3" i="15"/>
  <c r="F3" i="15"/>
  <c r="I145" i="17"/>
  <c r="C135" i="17"/>
  <c r="E130" i="17"/>
  <c r="G125" i="17"/>
  <c r="D124" i="17"/>
  <c r="G124" i="17" s="1"/>
  <c r="G120" i="17"/>
  <c r="G119" i="17"/>
  <c r="G118" i="17"/>
  <c r="G115" i="17"/>
  <c r="D115" i="17"/>
  <c r="F114" i="17"/>
  <c r="D114" i="17"/>
  <c r="C95" i="17"/>
  <c r="E90" i="17"/>
  <c r="G86" i="17"/>
  <c r="D86" i="17"/>
  <c r="A85" i="17"/>
  <c r="A84" i="17"/>
  <c r="A83" i="17"/>
  <c r="A82" i="17"/>
  <c r="A81" i="17"/>
  <c r="G79" i="17"/>
  <c r="G78" i="17"/>
  <c r="G77" i="17"/>
  <c r="G76" i="17"/>
  <c r="I73" i="17"/>
  <c r="G71" i="17"/>
  <c r="G70" i="17"/>
  <c r="G68" i="17"/>
  <c r="G67" i="17"/>
  <c r="H66" i="17"/>
  <c r="F65" i="17"/>
  <c r="F64" i="17"/>
  <c r="G64" i="17" s="1"/>
  <c r="I64" i="17" s="1"/>
  <c r="F63" i="17"/>
  <c r="D63" i="17"/>
  <c r="D65" i="17" s="1"/>
  <c r="G65" i="17" s="1"/>
  <c r="I65" i="17" s="1"/>
  <c r="H62" i="17"/>
  <c r="K56" i="17"/>
  <c r="K55" i="17"/>
  <c r="F48" i="17"/>
  <c r="D85" i="17" s="1"/>
  <c r="G85" i="17" s="1"/>
  <c r="F47" i="17"/>
  <c r="D84" i="17" s="1"/>
  <c r="G84" i="17" s="1"/>
  <c r="C49" i="17"/>
  <c r="F45" i="17"/>
  <c r="D82" i="17" s="1"/>
  <c r="G82" i="17" s="1"/>
  <c r="F44" i="17"/>
  <c r="D81" i="17" s="1"/>
  <c r="G81" i="17" s="1"/>
  <c r="E32" i="17"/>
  <c r="C32" i="17"/>
  <c r="F23" i="17"/>
  <c r="E27" i="17" s="1"/>
  <c r="F21" i="17"/>
  <c r="J13" i="17"/>
  <c r="J12" i="17"/>
  <c r="K11" i="17"/>
  <c r="J11" i="17"/>
  <c r="A11" i="17"/>
  <c r="K9" i="17"/>
  <c r="A6" i="17"/>
  <c r="I145" i="16"/>
  <c r="C135" i="16"/>
  <c r="E130" i="16"/>
  <c r="G125" i="16"/>
  <c r="D124" i="16"/>
  <c r="G124" i="16" s="1"/>
  <c r="G120" i="16"/>
  <c r="G119" i="16"/>
  <c r="G118" i="16"/>
  <c r="D115" i="16"/>
  <c r="G115" i="16" s="1"/>
  <c r="F114" i="16"/>
  <c r="G114" i="16" s="1"/>
  <c r="D114" i="16"/>
  <c r="C95" i="16"/>
  <c r="H86" i="16"/>
  <c r="I86" i="16" s="1"/>
  <c r="G86" i="16"/>
  <c r="D86" i="16"/>
  <c r="A85" i="16"/>
  <c r="A84" i="16"/>
  <c r="A83" i="16"/>
  <c r="D82" i="16"/>
  <c r="G82" i="16" s="1"/>
  <c r="A82" i="16"/>
  <c r="A81" i="16"/>
  <c r="G79" i="16"/>
  <c r="G78" i="16"/>
  <c r="G76" i="16" s="1"/>
  <c r="G77" i="16"/>
  <c r="H75" i="16"/>
  <c r="I75" i="16" s="1"/>
  <c r="I73" i="16"/>
  <c r="G71" i="16"/>
  <c r="G70" i="16"/>
  <c r="G68" i="16"/>
  <c r="G67" i="16"/>
  <c r="H66" i="16"/>
  <c r="F65" i="16"/>
  <c r="G65" i="16" s="1"/>
  <c r="I65" i="16" s="1"/>
  <c r="D65" i="16"/>
  <c r="F64" i="16"/>
  <c r="G64" i="16" s="1"/>
  <c r="I64" i="16" s="1"/>
  <c r="G63" i="16"/>
  <c r="I63" i="16" s="1"/>
  <c r="F63" i="16"/>
  <c r="D63" i="16"/>
  <c r="H62" i="16"/>
  <c r="K56" i="16"/>
  <c r="H74" i="16" s="1"/>
  <c r="I74" i="16" s="1"/>
  <c r="K55" i="16"/>
  <c r="E90" i="16" s="1"/>
  <c r="F48" i="16"/>
  <c r="D85" i="16" s="1"/>
  <c r="G85" i="16" s="1"/>
  <c r="F47" i="16"/>
  <c r="D84" i="16" s="1"/>
  <c r="G84" i="16" s="1"/>
  <c r="F46" i="16"/>
  <c r="D83" i="16" s="1"/>
  <c r="G83" i="16" s="1"/>
  <c r="F45" i="16"/>
  <c r="F44" i="16"/>
  <c r="D81" i="16" s="1"/>
  <c r="G81" i="16" s="1"/>
  <c r="C32" i="16"/>
  <c r="F23" i="16"/>
  <c r="E27" i="16" s="1"/>
  <c r="F21" i="16"/>
  <c r="J13" i="16"/>
  <c r="J12" i="16"/>
  <c r="K11" i="16"/>
  <c r="J11" i="16"/>
  <c r="A11" i="16"/>
  <c r="K9" i="16"/>
  <c r="A6" i="16"/>
  <c r="D3" i="15"/>
  <c r="E3" i="15"/>
  <c r="C3" i="15"/>
  <c r="B3" i="15"/>
  <c r="G6" i="8"/>
  <c r="J149" i="12"/>
  <c r="I145" i="14"/>
  <c r="I145" i="13"/>
  <c r="I145" i="12"/>
  <c r="I145" i="10"/>
  <c r="H3" i="8"/>
  <c r="K3" i="8"/>
  <c r="E3" i="8"/>
  <c r="B3" i="8"/>
  <c r="C135" i="14"/>
  <c r="E130" i="14"/>
  <c r="G125" i="14"/>
  <c r="D124" i="14"/>
  <c r="G124" i="14" s="1"/>
  <c r="G120" i="14"/>
  <c r="G119" i="14"/>
  <c r="G118" i="14"/>
  <c r="D115" i="14"/>
  <c r="G115" i="14" s="1"/>
  <c r="D114" i="14"/>
  <c r="C95" i="14"/>
  <c r="D86" i="14"/>
  <c r="G86" i="14" s="1"/>
  <c r="A85" i="14"/>
  <c r="A84" i="14"/>
  <c r="A83" i="14"/>
  <c r="A82" i="14"/>
  <c r="A81" i="14"/>
  <c r="G79" i="14"/>
  <c r="G76" i="14" s="1"/>
  <c r="G78" i="14"/>
  <c r="G77" i="14"/>
  <c r="I73" i="14"/>
  <c r="G71" i="14"/>
  <c r="G70" i="14"/>
  <c r="G69" i="14"/>
  <c r="G68" i="14"/>
  <c r="G67" i="14"/>
  <c r="F65" i="14"/>
  <c r="F64" i="14"/>
  <c r="G64" i="14" s="1"/>
  <c r="I64" i="14" s="1"/>
  <c r="F63" i="14"/>
  <c r="D63" i="14"/>
  <c r="D65" i="14" s="1"/>
  <c r="K56" i="14"/>
  <c r="H86" i="14" s="1"/>
  <c r="K55" i="14"/>
  <c r="E90" i="14" s="1"/>
  <c r="F48" i="14"/>
  <c r="D85" i="14" s="1"/>
  <c r="G85" i="14" s="1"/>
  <c r="F47" i="14"/>
  <c r="D84" i="14" s="1"/>
  <c r="G84" i="14" s="1"/>
  <c r="C49" i="14"/>
  <c r="F45" i="14"/>
  <c r="D82" i="14" s="1"/>
  <c r="G82" i="14" s="1"/>
  <c r="F44" i="14"/>
  <c r="D81" i="14" s="1"/>
  <c r="G81" i="14" s="1"/>
  <c r="E32" i="14"/>
  <c r="C32" i="14"/>
  <c r="F23" i="14"/>
  <c r="F24" i="14" s="1"/>
  <c r="F21" i="14"/>
  <c r="J13" i="14"/>
  <c r="J12" i="14"/>
  <c r="K11" i="14"/>
  <c r="J11" i="14"/>
  <c r="A11" i="14"/>
  <c r="K9" i="14"/>
  <c r="A6" i="14"/>
  <c r="C135" i="13"/>
  <c r="E130" i="13"/>
  <c r="G125" i="13"/>
  <c r="D124" i="13"/>
  <c r="G124" i="13" s="1"/>
  <c r="G120" i="13"/>
  <c r="G119" i="13"/>
  <c r="G118" i="13"/>
  <c r="D115" i="13"/>
  <c r="G115" i="13" s="1"/>
  <c r="F114" i="13"/>
  <c r="D114" i="13"/>
  <c r="C95" i="13"/>
  <c r="D86" i="13"/>
  <c r="G86" i="13" s="1"/>
  <c r="A85" i="13"/>
  <c r="A84" i="13"/>
  <c r="A83" i="13"/>
  <c r="A82" i="13"/>
  <c r="A81" i="13"/>
  <c r="G79" i="13"/>
  <c r="G78" i="13"/>
  <c r="G77" i="13"/>
  <c r="G76" i="13" s="1"/>
  <c r="I73" i="13"/>
  <c r="G71" i="13"/>
  <c r="G70" i="13"/>
  <c r="G68" i="13"/>
  <c r="G67" i="13"/>
  <c r="F65" i="13"/>
  <c r="F64" i="13"/>
  <c r="G64" i="13" s="1"/>
  <c r="I64" i="13" s="1"/>
  <c r="F63" i="13"/>
  <c r="D63" i="13"/>
  <c r="D65" i="13" s="1"/>
  <c r="K56" i="13"/>
  <c r="H86" i="13" s="1"/>
  <c r="K55" i="13"/>
  <c r="H62" i="13" s="1"/>
  <c r="F48" i="13"/>
  <c r="D85" i="13" s="1"/>
  <c r="G85" i="13" s="1"/>
  <c r="F47" i="13"/>
  <c r="D84" i="13" s="1"/>
  <c r="G84" i="13" s="1"/>
  <c r="F45" i="13"/>
  <c r="D82" i="13" s="1"/>
  <c r="G82" i="13" s="1"/>
  <c r="F44" i="13"/>
  <c r="D81" i="13" s="1"/>
  <c r="G81" i="13" s="1"/>
  <c r="E32" i="13"/>
  <c r="C32" i="13"/>
  <c r="F23" i="13"/>
  <c r="F24" i="13" s="1"/>
  <c r="F21" i="13"/>
  <c r="J13" i="13"/>
  <c r="J12" i="13"/>
  <c r="J11" i="13"/>
  <c r="A11" i="13"/>
  <c r="K9" i="13"/>
  <c r="A6" i="13"/>
  <c r="C135" i="12"/>
  <c r="E130" i="12"/>
  <c r="G125" i="12"/>
  <c r="D124" i="12"/>
  <c r="G124" i="12" s="1"/>
  <c r="G120" i="12"/>
  <c r="G119" i="12"/>
  <c r="G118" i="12"/>
  <c r="D115" i="12"/>
  <c r="G115" i="12" s="1"/>
  <c r="F114" i="12"/>
  <c r="D114" i="12"/>
  <c r="C95" i="12"/>
  <c r="H86" i="12"/>
  <c r="D86" i="12"/>
  <c r="G86" i="12" s="1"/>
  <c r="A85" i="12"/>
  <c r="A84" i="12"/>
  <c r="A83" i="12"/>
  <c r="A82" i="12"/>
  <c r="A81" i="12"/>
  <c r="H80" i="12"/>
  <c r="G79" i="12"/>
  <c r="G78" i="12"/>
  <c r="G77" i="12"/>
  <c r="G76" i="12" s="1"/>
  <c r="I73" i="12"/>
  <c r="H72" i="12"/>
  <c r="I72" i="12" s="1"/>
  <c r="G71" i="12"/>
  <c r="G70" i="12"/>
  <c r="G68" i="12"/>
  <c r="G67" i="12"/>
  <c r="H66" i="12"/>
  <c r="F65" i="12"/>
  <c r="F64" i="12"/>
  <c r="G64" i="12" s="1"/>
  <c r="I64" i="12" s="1"/>
  <c r="F63" i="12"/>
  <c r="D63" i="12"/>
  <c r="D65" i="12" s="1"/>
  <c r="K56" i="12"/>
  <c r="H74" i="12" s="1"/>
  <c r="I74" i="12" s="1"/>
  <c r="K55" i="12"/>
  <c r="E90" i="12" s="1"/>
  <c r="F48" i="12"/>
  <c r="D85" i="12" s="1"/>
  <c r="G85" i="12" s="1"/>
  <c r="F47" i="12"/>
  <c r="D84" i="12" s="1"/>
  <c r="G84" i="12" s="1"/>
  <c r="F45" i="12"/>
  <c r="D82" i="12" s="1"/>
  <c r="G82" i="12" s="1"/>
  <c r="F44" i="12"/>
  <c r="D81" i="12" s="1"/>
  <c r="G81" i="12" s="1"/>
  <c r="E32" i="12"/>
  <c r="C32" i="12"/>
  <c r="F23" i="12"/>
  <c r="E27" i="12" s="1"/>
  <c r="F21" i="12"/>
  <c r="J13" i="12"/>
  <c r="J12" i="12"/>
  <c r="J11" i="12"/>
  <c r="A11" i="12"/>
  <c r="K9" i="12"/>
  <c r="A6" i="12"/>
  <c r="C95" i="10"/>
  <c r="C135" i="10"/>
  <c r="E32" i="10"/>
  <c r="C32" i="10"/>
  <c r="G65" i="14" l="1"/>
  <c r="I65" i="14" s="1"/>
  <c r="F32" i="17"/>
  <c r="G114" i="17"/>
  <c r="G80" i="16"/>
  <c r="G66" i="17"/>
  <c r="I66" i="17" s="1"/>
  <c r="F32" i="14"/>
  <c r="F32" i="10"/>
  <c r="K7" i="14"/>
  <c r="F117" i="14" s="1"/>
  <c r="G117" i="14" s="1"/>
  <c r="G116" i="14" s="1"/>
  <c r="K7" i="17"/>
  <c r="F117" i="17" s="1"/>
  <c r="G117" i="17" s="1"/>
  <c r="G116" i="17" s="1"/>
  <c r="G126" i="17" s="1"/>
  <c r="E135" i="17" s="1"/>
  <c r="F135" i="17" s="1"/>
  <c r="K7" i="13"/>
  <c r="F117" i="13" s="1"/>
  <c r="G117" i="13" s="1"/>
  <c r="K7" i="16"/>
  <c r="F117" i="16" s="1"/>
  <c r="G117" i="16" s="1"/>
  <c r="G116" i="16" s="1"/>
  <c r="F32" i="13"/>
  <c r="G69" i="16"/>
  <c r="G66" i="16" s="1"/>
  <c r="I66" i="16" s="1"/>
  <c r="G66" i="13"/>
  <c r="G66" i="14"/>
  <c r="G66" i="12"/>
  <c r="I66" i="12" s="1"/>
  <c r="F32" i="16"/>
  <c r="I32" i="16" s="1"/>
  <c r="H74" i="17"/>
  <c r="I74" i="17" s="1"/>
  <c r="H80" i="17"/>
  <c r="H72" i="17"/>
  <c r="I72" i="17" s="1"/>
  <c r="H76" i="17"/>
  <c r="H86" i="17"/>
  <c r="I86" i="17" s="1"/>
  <c r="H75" i="17"/>
  <c r="I75" i="17" s="1"/>
  <c r="I76" i="17"/>
  <c r="C33" i="17"/>
  <c r="G10" i="17"/>
  <c r="K10" i="17" s="1"/>
  <c r="I32" i="17"/>
  <c r="F24" i="17"/>
  <c r="F46" i="17"/>
  <c r="D83" i="17" s="1"/>
  <c r="G83" i="17" s="1"/>
  <c r="G80" i="17" s="1"/>
  <c r="I80" i="17" s="1"/>
  <c r="G63" i="17"/>
  <c r="I63" i="17" s="1"/>
  <c r="C33" i="16"/>
  <c r="G10" i="16"/>
  <c r="G126" i="16"/>
  <c r="E135" i="16" s="1"/>
  <c r="F135" i="16" s="1"/>
  <c r="F24" i="16"/>
  <c r="H76" i="16"/>
  <c r="I76" i="16" s="1"/>
  <c r="H72" i="16"/>
  <c r="I72" i="16" s="1"/>
  <c r="H80" i="16"/>
  <c r="C49" i="16"/>
  <c r="F49" i="16"/>
  <c r="H66" i="14"/>
  <c r="C49" i="12"/>
  <c r="G116" i="12"/>
  <c r="G126" i="12" s="1"/>
  <c r="E135" i="12" s="1"/>
  <c r="F135" i="12" s="1"/>
  <c r="G114" i="12"/>
  <c r="H76" i="12"/>
  <c r="I76" i="12" s="1"/>
  <c r="G65" i="12"/>
  <c r="I65" i="12" s="1"/>
  <c r="G116" i="13"/>
  <c r="H62" i="14"/>
  <c r="H66" i="13"/>
  <c r="E90" i="13"/>
  <c r="C49" i="13"/>
  <c r="H74" i="14"/>
  <c r="I74" i="14" s="1"/>
  <c r="H76" i="14"/>
  <c r="I76" i="14" s="1"/>
  <c r="G114" i="14"/>
  <c r="H80" i="14"/>
  <c r="H72" i="14"/>
  <c r="I72" i="14" s="1"/>
  <c r="H74" i="13"/>
  <c r="I74" i="13" s="1"/>
  <c r="G65" i="13"/>
  <c r="I65" i="13" s="1"/>
  <c r="H76" i="13"/>
  <c r="I76" i="13" s="1"/>
  <c r="G114" i="13"/>
  <c r="H62" i="12"/>
  <c r="H75" i="12"/>
  <c r="I75" i="12" s="1"/>
  <c r="I86" i="12"/>
  <c r="F32" i="12"/>
  <c r="I32" i="12" s="1"/>
  <c r="I86" i="14"/>
  <c r="E27" i="14"/>
  <c r="F46" i="14"/>
  <c r="D83" i="14" s="1"/>
  <c r="G83" i="14" s="1"/>
  <c r="G80" i="14" s="1"/>
  <c r="G63" i="14"/>
  <c r="I63" i="14" s="1"/>
  <c r="H75" i="14"/>
  <c r="I75" i="14" s="1"/>
  <c r="I86" i="13"/>
  <c r="E27" i="13"/>
  <c r="F46" i="13"/>
  <c r="D83" i="13" s="1"/>
  <c r="G83" i="13" s="1"/>
  <c r="G80" i="13" s="1"/>
  <c r="G63" i="13"/>
  <c r="I63" i="13" s="1"/>
  <c r="H72" i="13"/>
  <c r="I72" i="13" s="1"/>
  <c r="H80" i="13"/>
  <c r="H75" i="13"/>
  <c r="I75" i="13" s="1"/>
  <c r="C33" i="12"/>
  <c r="G10" i="12"/>
  <c r="F24" i="12"/>
  <c r="F46" i="12"/>
  <c r="D83" i="12" s="1"/>
  <c r="G83" i="12" s="1"/>
  <c r="G80" i="12" s="1"/>
  <c r="I80" i="12" s="1"/>
  <c r="G63" i="12"/>
  <c r="I63" i="12" s="1"/>
  <c r="F49" i="17" l="1"/>
  <c r="I80" i="16"/>
  <c r="I32" i="14"/>
  <c r="G126" i="14"/>
  <c r="E135" i="14" s="1"/>
  <c r="F135" i="14" s="1"/>
  <c r="I135" i="14" s="1"/>
  <c r="I137" i="14" s="1"/>
  <c r="J149" i="14" s="1"/>
  <c r="J6" i="8" s="1"/>
  <c r="G32" i="17"/>
  <c r="G126" i="13"/>
  <c r="E135" i="13" s="1"/>
  <c r="F135" i="13" s="1"/>
  <c r="F137" i="13" s="1"/>
  <c r="G149" i="13" s="1"/>
  <c r="I32" i="13"/>
  <c r="I66" i="13"/>
  <c r="I66" i="14"/>
  <c r="G32" i="16"/>
  <c r="F137" i="17"/>
  <c r="G149" i="17" s="1"/>
  <c r="H149" i="17" s="1"/>
  <c r="I135" i="17"/>
  <c r="I137" i="17" s="1"/>
  <c r="J149" i="17" s="1"/>
  <c r="G135" i="17"/>
  <c r="G137" i="17" s="1"/>
  <c r="C142" i="17"/>
  <c r="F11" i="17"/>
  <c r="K12" i="17"/>
  <c r="F137" i="16"/>
  <c r="G149" i="16" s="1"/>
  <c r="H149" i="16" s="1"/>
  <c r="I135" i="16"/>
  <c r="I137" i="16" s="1"/>
  <c r="J149" i="16" s="1"/>
  <c r="G135" i="16"/>
  <c r="G137" i="16" s="1"/>
  <c r="C142" i="16"/>
  <c r="F11" i="16"/>
  <c r="K10" i="16"/>
  <c r="K12" i="16" s="1"/>
  <c r="F49" i="14"/>
  <c r="F49" i="12"/>
  <c r="F49" i="13"/>
  <c r="I80" i="14"/>
  <c r="I80" i="13"/>
  <c r="G32" i="12"/>
  <c r="C33" i="14"/>
  <c r="G10" i="14"/>
  <c r="C33" i="13"/>
  <c r="G10" i="13"/>
  <c r="G135" i="12"/>
  <c r="G137" i="12" s="1"/>
  <c r="F137" i="12"/>
  <c r="G149" i="12" s="1"/>
  <c r="H149" i="12" s="1"/>
  <c r="C142" i="12"/>
  <c r="F11" i="12"/>
  <c r="K11" i="12" s="1"/>
  <c r="K12" i="12" s="1"/>
  <c r="K10" i="12"/>
  <c r="G135" i="14" l="1"/>
  <c r="G137" i="14" s="1"/>
  <c r="I135" i="13"/>
  <c r="I137" i="13" s="1"/>
  <c r="J149" i="13" s="1"/>
  <c r="M6" i="8" s="1"/>
  <c r="F137" i="14"/>
  <c r="G149" i="14" s="1"/>
  <c r="H149" i="14" s="1"/>
  <c r="E142" i="17"/>
  <c r="F142" i="17" s="1"/>
  <c r="K13" i="17"/>
  <c r="E142" i="16"/>
  <c r="F142" i="16" s="1"/>
  <c r="K13" i="16"/>
  <c r="H149" i="13"/>
  <c r="F11" i="14"/>
  <c r="K10" i="14"/>
  <c r="K12" i="14" s="1"/>
  <c r="C142" i="14"/>
  <c r="G32" i="14"/>
  <c r="F11" i="13"/>
  <c r="K11" i="13" s="1"/>
  <c r="K10" i="13"/>
  <c r="C142" i="13"/>
  <c r="G135" i="13"/>
  <c r="G137" i="13" s="1"/>
  <c r="G32" i="13"/>
  <c r="K13" i="12"/>
  <c r="E142" i="12"/>
  <c r="F142" i="12" s="1"/>
  <c r="G142" i="17" l="1"/>
  <c r="G150" i="17"/>
  <c r="H150" i="17" s="1"/>
  <c r="E33" i="17"/>
  <c r="F33" i="17" s="1"/>
  <c r="F62" i="17"/>
  <c r="G62" i="17" s="1"/>
  <c r="G142" i="16"/>
  <c r="G150" i="16"/>
  <c r="H150" i="16" s="1"/>
  <c r="E33" i="16"/>
  <c r="F33" i="16" s="1"/>
  <c r="F62" i="16"/>
  <c r="G62" i="16" s="1"/>
  <c r="G142" i="12"/>
  <c r="G150" i="12"/>
  <c r="H150" i="12" s="1"/>
  <c r="K13" i="14"/>
  <c r="E142" i="14"/>
  <c r="F142" i="14" s="1"/>
  <c r="K12" i="13"/>
  <c r="F62" i="12"/>
  <c r="G62" i="12" s="1"/>
  <c r="E33" i="12"/>
  <c r="F33" i="12" s="1"/>
  <c r="I33" i="12" s="1"/>
  <c r="I35" i="12" s="1"/>
  <c r="J147" i="12" s="1"/>
  <c r="E6" i="8" s="1"/>
  <c r="E130" i="10"/>
  <c r="D124" i="10"/>
  <c r="G124" i="10" s="1"/>
  <c r="G120" i="10"/>
  <c r="G119" i="10"/>
  <c r="G118" i="10"/>
  <c r="D115" i="10"/>
  <c r="G115" i="10" s="1"/>
  <c r="F114" i="10"/>
  <c r="D114" i="10"/>
  <c r="D86" i="10"/>
  <c r="G86" i="10" s="1"/>
  <c r="A85" i="10"/>
  <c r="A84" i="10"/>
  <c r="A83" i="10"/>
  <c r="A82" i="10"/>
  <c r="A81" i="10"/>
  <c r="G79" i="10"/>
  <c r="G78" i="10"/>
  <c r="G77" i="10"/>
  <c r="I73" i="10"/>
  <c r="G71" i="10"/>
  <c r="G70" i="10"/>
  <c r="G69" i="10"/>
  <c r="G68" i="10"/>
  <c r="G67" i="10"/>
  <c r="F65" i="10"/>
  <c r="F64" i="10"/>
  <c r="G64" i="10" s="1"/>
  <c r="I64" i="10" s="1"/>
  <c r="F63" i="10"/>
  <c r="D63" i="10"/>
  <c r="D65" i="10" s="1"/>
  <c r="K56" i="10"/>
  <c r="H86" i="10" s="1"/>
  <c r="K55" i="10"/>
  <c r="H66" i="10" s="1"/>
  <c r="F48" i="10"/>
  <c r="D85" i="10" s="1"/>
  <c r="G85" i="10" s="1"/>
  <c r="F47" i="10"/>
  <c r="D84" i="10" s="1"/>
  <c r="G84" i="10" s="1"/>
  <c r="F45" i="10"/>
  <c r="D82" i="10" s="1"/>
  <c r="G82" i="10" s="1"/>
  <c r="F44" i="10"/>
  <c r="D81" i="10" s="1"/>
  <c r="G81" i="10" s="1"/>
  <c r="F23" i="10"/>
  <c r="E27" i="10" s="1"/>
  <c r="F21" i="10"/>
  <c r="J13" i="10"/>
  <c r="J12" i="10"/>
  <c r="J11" i="10"/>
  <c r="A11" i="10"/>
  <c r="K9" i="10"/>
  <c r="F117" i="10"/>
  <c r="G117" i="10" s="1"/>
  <c r="A6" i="10"/>
  <c r="F5" i="8"/>
  <c r="L5" i="8" s="1"/>
  <c r="I5" i="8" s="1"/>
  <c r="G5" i="8"/>
  <c r="M5" i="8" s="1"/>
  <c r="J5" i="8" s="1"/>
  <c r="E5" i="8"/>
  <c r="K5" i="8" s="1"/>
  <c r="H5" i="8" s="1"/>
  <c r="E142" i="13" l="1"/>
  <c r="F142" i="13" s="1"/>
  <c r="G150" i="13" s="1"/>
  <c r="H150" i="13" s="1"/>
  <c r="K13" i="13"/>
  <c r="F62" i="13" s="1"/>
  <c r="G62" i="13" s="1"/>
  <c r="I62" i="17"/>
  <c r="I87" i="17" s="1"/>
  <c r="E95" i="17" s="1"/>
  <c r="F95" i="17" s="1"/>
  <c r="G87" i="17"/>
  <c r="G33" i="17"/>
  <c r="G35" i="17" s="1"/>
  <c r="I33" i="17"/>
  <c r="I35" i="17" s="1"/>
  <c r="J147" i="17" s="1"/>
  <c r="F35" i="17"/>
  <c r="G147" i="17" s="1"/>
  <c r="G33" i="16"/>
  <c r="G35" i="16" s="1"/>
  <c r="F35" i="16"/>
  <c r="G147" i="16" s="1"/>
  <c r="I33" i="16"/>
  <c r="I35" i="16" s="1"/>
  <c r="J147" i="16" s="1"/>
  <c r="G87" i="16"/>
  <c r="I62" i="16"/>
  <c r="I87" i="16" s="1"/>
  <c r="E95" i="16" s="1"/>
  <c r="F95" i="16" s="1"/>
  <c r="C33" i="10"/>
  <c r="I32" i="10"/>
  <c r="G150" i="14"/>
  <c r="H150" i="14" s="1"/>
  <c r="G142" i="14"/>
  <c r="F62" i="14"/>
  <c r="G62" i="14" s="1"/>
  <c r="E33" i="14"/>
  <c r="F33" i="14" s="1"/>
  <c r="I33" i="14" s="1"/>
  <c r="I35" i="14" s="1"/>
  <c r="J147" i="14" s="1"/>
  <c r="H6" i="8" s="1"/>
  <c r="G87" i="12"/>
  <c r="I62" i="12"/>
  <c r="I87" i="12" s="1"/>
  <c r="E95" i="12" s="1"/>
  <c r="F95" i="12" s="1"/>
  <c r="I95" i="12" s="1"/>
  <c r="I97" i="12" s="1"/>
  <c r="J148" i="12" s="1"/>
  <c r="F6" i="8" s="1"/>
  <c r="G33" i="12"/>
  <c r="G35" i="12" s="1"/>
  <c r="F35" i="12"/>
  <c r="G147" i="12" s="1"/>
  <c r="H147" i="12" s="1"/>
  <c r="H72" i="10"/>
  <c r="I72" i="10" s="1"/>
  <c r="G116" i="10"/>
  <c r="H76" i="10"/>
  <c r="G76" i="10"/>
  <c r="G65" i="10"/>
  <c r="I65" i="10" s="1"/>
  <c r="G66" i="10"/>
  <c r="I66" i="10" s="1"/>
  <c r="G114" i="10"/>
  <c r="E90" i="10"/>
  <c r="G10" i="10" s="1"/>
  <c r="H80" i="10"/>
  <c r="C49" i="10"/>
  <c r="I86" i="10"/>
  <c r="F46" i="10"/>
  <c r="D83" i="10" s="1"/>
  <c r="G83" i="10" s="1"/>
  <c r="G80" i="10" s="1"/>
  <c r="G63" i="10"/>
  <c r="I63" i="10" s="1"/>
  <c r="F24" i="10"/>
  <c r="H74" i="10"/>
  <c r="I74" i="10" s="1"/>
  <c r="H75" i="10"/>
  <c r="I75" i="10" s="1"/>
  <c r="H62" i="10"/>
  <c r="G142" i="13" l="1"/>
  <c r="H147" i="17"/>
  <c r="F97" i="17"/>
  <c r="G148" i="17" s="1"/>
  <c r="H148" i="17" s="1"/>
  <c r="I95" i="17"/>
  <c r="I97" i="17" s="1"/>
  <c r="J148" i="17" s="1"/>
  <c r="G95" i="17"/>
  <c r="G97" i="17" s="1"/>
  <c r="H147" i="16"/>
  <c r="F97" i="16"/>
  <c r="G148" i="16" s="1"/>
  <c r="H148" i="16" s="1"/>
  <c r="I95" i="16"/>
  <c r="I97" i="16" s="1"/>
  <c r="J148" i="16" s="1"/>
  <c r="G95" i="16"/>
  <c r="G97" i="16" s="1"/>
  <c r="I76" i="10"/>
  <c r="G33" i="14"/>
  <c r="G35" i="14" s="1"/>
  <c r="F35" i="14"/>
  <c r="G147" i="14" s="1"/>
  <c r="H147" i="14" s="1"/>
  <c r="I62" i="14"/>
  <c r="I87" i="14" s="1"/>
  <c r="E95" i="14" s="1"/>
  <c r="F95" i="14" s="1"/>
  <c r="I95" i="14" s="1"/>
  <c r="I97" i="14" s="1"/>
  <c r="J148" i="14" s="1"/>
  <c r="I6" i="8" s="1"/>
  <c r="G87" i="14"/>
  <c r="E33" i="13"/>
  <c r="I62" i="13"/>
  <c r="I87" i="13" s="1"/>
  <c r="E95" i="13" s="1"/>
  <c r="F95" i="13" s="1"/>
  <c r="I95" i="13" s="1"/>
  <c r="I97" i="13" s="1"/>
  <c r="J148" i="13" s="1"/>
  <c r="L6" i="8" s="1"/>
  <c r="G87" i="13"/>
  <c r="F97" i="12"/>
  <c r="G148" i="12" s="1"/>
  <c r="G95" i="12"/>
  <c r="G97" i="12" s="1"/>
  <c r="F49" i="10"/>
  <c r="I80" i="10"/>
  <c r="C142" i="10"/>
  <c r="G32" i="10"/>
  <c r="F11" i="10"/>
  <c r="K11" i="10" s="1"/>
  <c r="K12" i="10" s="1"/>
  <c r="E142" i="10" s="1"/>
  <c r="K10" i="10"/>
  <c r="F33" i="13" l="1"/>
  <c r="I33" i="13" s="1"/>
  <c r="I35" i="13" s="1"/>
  <c r="J147" i="13" s="1"/>
  <c r="K6" i="8" s="1"/>
  <c r="G151" i="17"/>
  <c r="G151" i="16"/>
  <c r="G151" i="12"/>
  <c r="H148" i="12"/>
  <c r="F97" i="14"/>
  <c r="G148" i="14" s="1"/>
  <c r="G95" i="14"/>
  <c r="G97" i="14" s="1"/>
  <c r="F97" i="13"/>
  <c r="G148" i="13" s="1"/>
  <c r="G95" i="13"/>
  <c r="G97" i="13" s="1"/>
  <c r="K13" i="10"/>
  <c r="E33" i="10" s="1"/>
  <c r="F33" i="10" s="1"/>
  <c r="F142" i="10"/>
  <c r="G33" i="13" l="1"/>
  <c r="G35" i="13" s="1"/>
  <c r="F35" i="13"/>
  <c r="G147" i="13" s="1"/>
  <c r="H147" i="13" s="1"/>
  <c r="H151" i="17"/>
  <c r="G5" i="15" s="1"/>
  <c r="G4" i="15"/>
  <c r="H151" i="16"/>
  <c r="F5" i="15" s="1"/>
  <c r="F4" i="15"/>
  <c r="H151" i="12"/>
  <c r="C5" i="15" s="1"/>
  <c r="C4" i="15"/>
  <c r="G33" i="10"/>
  <c r="G35" i="10" s="1"/>
  <c r="I33" i="10"/>
  <c r="I35" i="10" s="1"/>
  <c r="J147" i="10" s="1"/>
  <c r="B6" i="8" s="1"/>
  <c r="H148" i="13"/>
  <c r="G151" i="14"/>
  <c r="H148" i="14"/>
  <c r="G142" i="10"/>
  <c r="G150" i="10"/>
  <c r="H150" i="10" s="1"/>
  <c r="F62" i="10"/>
  <c r="G62" i="10" s="1"/>
  <c r="G87" i="10" s="1"/>
  <c r="F35" i="10"/>
  <c r="G147" i="10" s="1"/>
  <c r="H147" i="10" s="1"/>
  <c r="G151" i="13" l="1"/>
  <c r="E4" i="15" s="1"/>
  <c r="H151" i="14"/>
  <c r="D5" i="15" s="1"/>
  <c r="D4" i="15"/>
  <c r="I62" i="10"/>
  <c r="I87" i="10" s="1"/>
  <c r="E95" i="10" s="1"/>
  <c r="F95" i="10" s="1"/>
  <c r="I95" i="10" s="1"/>
  <c r="I97" i="10" s="1"/>
  <c r="J148" i="10" s="1"/>
  <c r="C6" i="8" s="1"/>
  <c r="H151" i="13" l="1"/>
  <c r="E5" i="15" s="1"/>
  <c r="F97" i="10"/>
  <c r="G148" i="10" s="1"/>
  <c r="G95" i="10"/>
  <c r="G97" i="10" s="1"/>
  <c r="H148" i="10" l="1"/>
  <c r="G125" i="10" l="1"/>
  <c r="G126" i="10" s="1"/>
  <c r="E135" i="10" s="1"/>
  <c r="F135" i="10" s="1"/>
  <c r="F137" i="10" l="1"/>
  <c r="G149" i="10" s="1"/>
  <c r="G135" i="10"/>
  <c r="G137" i="10" s="1"/>
  <c r="I135" i="10"/>
  <c r="I137" i="10" s="1"/>
  <c r="J149" i="10" s="1"/>
  <c r="D6" i="8" s="1"/>
  <c r="G151" i="10" l="1"/>
  <c r="H149" i="10"/>
  <c r="B4" i="15" l="1"/>
  <c r="H151" i="10"/>
  <c r="B5" i="15" s="1"/>
</calcChain>
</file>

<file path=xl/sharedStrings.xml><?xml version="1.0" encoding="utf-8"?>
<sst xmlns="http://schemas.openxmlformats.org/spreadsheetml/2006/main" count="1148" uniqueCount="144">
  <si>
    <t>Simulation 1 :</t>
  </si>
  <si>
    <t>Modèle de rémunération</t>
  </si>
  <si>
    <t>Modèle de planification</t>
  </si>
  <si>
    <t>Nombre de jours projetés</t>
  </si>
  <si>
    <t>Prix lait février-juin modèle base [Fr./kg]</t>
  </si>
  <si>
    <t>Votre livraison de lait en 2025 [kg]</t>
  </si>
  <si>
    <t>Prix lait février-juin modèle planification [Fr./kg]</t>
  </si>
  <si>
    <t>Votre livraison de lait de février à juin 2025 [kg]</t>
  </si>
  <si>
    <t>Prix lait février-juin modèle planification surlivraison [Fr./kg]</t>
  </si>
  <si>
    <r>
      <t xml:space="preserve">Livraison prévisible de février à juin 2026 </t>
    </r>
    <r>
      <rPr>
        <u/>
        <sz val="11"/>
        <color theme="1"/>
        <rFont val="Aptos Narrow"/>
        <family val="2"/>
        <scheme val="minor"/>
      </rPr>
      <t>sans mesures volontaires</t>
    </r>
    <r>
      <rPr>
        <sz val="11"/>
        <color theme="1"/>
        <rFont val="Aptos Narrow"/>
        <family val="2"/>
        <scheme val="minor"/>
      </rPr>
      <t xml:space="preserve"> de réduction [kg]</t>
    </r>
  </si>
  <si>
    <r>
      <t xml:space="preserve">Livraison prévisible de février à juin 2026 </t>
    </r>
    <r>
      <rPr>
        <u/>
        <sz val="11"/>
        <color theme="1"/>
        <rFont val="Aptos Narrow"/>
        <family val="2"/>
        <scheme val="minor"/>
      </rPr>
      <t>avec mesures volontaires</t>
    </r>
    <r>
      <rPr>
        <sz val="11"/>
        <color theme="1"/>
        <rFont val="Aptos Narrow"/>
        <family val="2"/>
        <scheme val="minor"/>
      </rPr>
      <t xml:space="preserve"> de réduction [kg]</t>
    </r>
  </si>
  <si>
    <t>1 Diminution de la production laitière par une diminution des distributions de concentré de production</t>
  </si>
  <si>
    <t>Paramètres</t>
  </si>
  <si>
    <t>Valeur en NEL du concentré de production équilibré [MJ NEL / kg]</t>
  </si>
  <si>
    <t>Prix du concentré [Fr./dt]</t>
  </si>
  <si>
    <t>Diminution de concentrés entre février et juin [kg/vache]</t>
  </si>
  <si>
    <t>&lt;-A adapter</t>
  </si>
  <si>
    <t>Diminution de concentrés entre février et juin [kg/vache/jour]</t>
  </si>
  <si>
    <t>Nombre de vaches</t>
  </si>
  <si>
    <t>Quantité de lait produit en moins entre février et juin [kg/vache/an]</t>
  </si>
  <si>
    <t>Quantité de lait produit en moins [kg/vache/jour]</t>
  </si>
  <si>
    <t>Impact sur la vente de lait</t>
  </si>
  <si>
    <t>Diminution de la vente de lait par cette mesure [kg]</t>
  </si>
  <si>
    <t>Conséquences financières (sans prise en compte de la modification du prix du lait liée à une diminution des quantités commercialisées)</t>
  </si>
  <si>
    <t>Changements</t>
  </si>
  <si>
    <t>Quantité</t>
  </si>
  <si>
    <t>Unité</t>
  </si>
  <si>
    <t>Prix [Fr./unité]</t>
  </si>
  <si>
    <t>Total [Fr.]</t>
  </si>
  <si>
    <t>Par kg de lait effectivement livré [Fr./kg]</t>
  </si>
  <si>
    <t>Total [Fr./kg non commercialisé]</t>
  </si>
  <si>
    <t>Concentrés</t>
  </si>
  <si>
    <t>dt</t>
  </si>
  <si>
    <t>Baisse des ventes de lait</t>
  </si>
  <si>
    <t>kg</t>
  </si>
  <si>
    <t>Impact financier</t>
  </si>
  <si>
    <t>2 Vendre une ou plusieurs vaches pour la réforme</t>
  </si>
  <si>
    <t>Consommation de base par vache laitière</t>
  </si>
  <si>
    <t>Fourrages de base</t>
  </si>
  <si>
    <t>dt de MS/animal/an</t>
  </si>
  <si>
    <t>Taux de M.S.</t>
  </si>
  <si>
    <t>dt de MF/animal/an</t>
  </si>
  <si>
    <t>Herbe au pâturage</t>
  </si>
  <si>
    <t>Foin</t>
  </si>
  <si>
    <t>Ensilage d'herbe</t>
  </si>
  <si>
    <t>Ensilage de maïs</t>
  </si>
  <si>
    <t>Autre fourrage de base</t>
  </si>
  <si>
    <t>Total</t>
  </si>
  <si>
    <t>Durée d'utilisation des vaches, remonte et réforme</t>
  </si>
  <si>
    <t>Valeur d'une vache de réforme</t>
  </si>
  <si>
    <t>Valeur d'une génisse prête au veau</t>
  </si>
  <si>
    <t>Valeur du veau à 30 jours</t>
  </si>
  <si>
    <t>Nombre de lactation par VL</t>
  </si>
  <si>
    <t>% de la moyenne laitière qui aurait pu être produit jusqu'au tarissement</t>
  </si>
  <si>
    <t>Semaines de lactation à la réforme</t>
  </si>
  <si>
    <t>% de la durée de lactation qui aurait pu être réalisé jusqu'au tarissement</t>
  </si>
  <si>
    <t>Nombre de vaches dont la réforme sera anticipée pour diminuer le volume de lait trait</t>
  </si>
  <si>
    <t>Perte de marge brute d'une vache laitière réformée prématurément</t>
  </si>
  <si>
    <t>Prix [Fr./u.]</t>
  </si>
  <si>
    <t>Marge brute [Fr./VL./an]</t>
  </si>
  <si>
    <t>Correction pour lactation raccourcie</t>
  </si>
  <si>
    <t>Perte de marge brute [Fr./VL.]</t>
  </si>
  <si>
    <t>Vente de lait</t>
  </si>
  <si>
    <t>kg/an</t>
  </si>
  <si>
    <t>Vente de vache réformée</t>
  </si>
  <si>
    <t>vache/an</t>
  </si>
  <si>
    <t>Vente d'un veau à 30 jours</t>
  </si>
  <si>
    <t>veau/an</t>
  </si>
  <si>
    <t>Coût de la remonte</t>
  </si>
  <si>
    <t>génisse/an</t>
  </si>
  <si>
    <t xml:space="preserve">   dont aliment protéique</t>
  </si>
  <si>
    <t xml:space="preserve">   dont aliment énergétique</t>
  </si>
  <si>
    <t xml:space="preserve">   dont aliment de production</t>
  </si>
  <si>
    <t xml:space="preserve">   dont complément minéral</t>
  </si>
  <si>
    <t xml:space="preserve">   dont sel pour bétail</t>
  </si>
  <si>
    <t>Vétérinaire</t>
  </si>
  <si>
    <t>IA</t>
  </si>
  <si>
    <t>Autres coûts</t>
  </si>
  <si>
    <t>Parage des onglons</t>
  </si>
  <si>
    <t>Contributions</t>
  </si>
  <si>
    <t xml:space="preserve">   dont contribution SRPA</t>
  </si>
  <si>
    <t xml:space="preserve">   dont contribution SRPA &amp; pâturage</t>
  </si>
  <si>
    <t xml:space="preserve">  dont contribution SST</t>
  </si>
  <si>
    <t>dt M.F./an</t>
  </si>
  <si>
    <t>Paille</t>
  </si>
  <si>
    <t>Conséquences financières</t>
  </si>
  <si>
    <t>Marge brute VL</t>
  </si>
  <si>
    <t>VL</t>
  </si>
  <si>
    <t>3 Produire des veaux d'engraissement</t>
  </si>
  <si>
    <t>Données techniques</t>
  </si>
  <si>
    <t>Poids du veau gras [kg PM]</t>
  </si>
  <si>
    <t>Prix du veaux gras [Fr./kg PM]</t>
  </si>
  <si>
    <t>Poids du veau maigre [kg PV]</t>
  </si>
  <si>
    <t>Prix du veaux maigre [Fr./kg PV]</t>
  </si>
  <si>
    <t>Taux de perte</t>
  </si>
  <si>
    <t>Marge brute d'un veau blanc</t>
  </si>
  <si>
    <t>Marge brute [Fr./veau]</t>
  </si>
  <si>
    <t>Vente de viande (pertes déduites)</t>
  </si>
  <si>
    <t>kg PM</t>
  </si>
  <si>
    <t>Valeur du veau maigre</t>
  </si>
  <si>
    <t>kg veau</t>
  </si>
  <si>
    <t>Alimentation</t>
  </si>
  <si>
    <t xml:space="preserve">   dont lait</t>
  </si>
  <si>
    <t xml:space="preserve">   dont complément au lait</t>
  </si>
  <si>
    <t>Nombre de veaux d'engraissement produits en plus</t>
  </si>
  <si>
    <t>Marge brute veau</t>
  </si>
  <si>
    <t>veaux</t>
  </si>
  <si>
    <t>4 Impact des mesures sur le prix de la totalité de la production livrée</t>
  </si>
  <si>
    <t>Modification du prix du lait</t>
  </si>
  <si>
    <t>Synthèse</t>
  </si>
  <si>
    <t>Impacts</t>
  </si>
  <si>
    <t>Total [Fr./kg commercialisé]</t>
  </si>
  <si>
    <t>Diminution de la production laitière par une diminution des distributions de concentré de production</t>
  </si>
  <si>
    <t>Vendre une ou plusieurs vaches pour la réforme</t>
  </si>
  <si>
    <t>Produire des veaux d'engraissement</t>
  </si>
  <si>
    <t>Impact des mesures sur le prix de la totalité de la production livrée</t>
  </si>
  <si>
    <t>Impact financier total [Fr.]</t>
  </si>
  <si>
    <t>Simulation 2 :</t>
  </si>
  <si>
    <t>Simulation 3 :</t>
  </si>
  <si>
    <t>Modèle de base</t>
  </si>
  <si>
    <t>Simulation 4 :</t>
  </si>
  <si>
    <t>Simulation 5 :</t>
  </si>
  <si>
    <t>Simulation 6 :</t>
  </si>
  <si>
    <t>Synthèses des impacts par kg de lait commercialisé en moins</t>
  </si>
  <si>
    <t>Simulation</t>
  </si>
  <si>
    <t>Option</t>
  </si>
  <si>
    <t>Baisse des aliments par VL</t>
  </si>
  <si>
    <t>Réforme anticipée de vaches</t>
  </si>
  <si>
    <t>Engraissement de veaux</t>
  </si>
  <si>
    <r>
      <t xml:space="preserve">Impact financier par kg de lait </t>
    </r>
    <r>
      <rPr>
        <u/>
        <sz val="9"/>
        <color theme="1"/>
        <rFont val="Aptos Narrow"/>
        <family val="2"/>
        <scheme val="minor"/>
      </rPr>
      <t>non</t>
    </r>
    <r>
      <rPr>
        <sz val="9"/>
        <color theme="1"/>
        <rFont val="Aptos Narrow"/>
        <family val="2"/>
        <scheme val="minor"/>
      </rPr>
      <t xml:space="preserve"> commercialisé [Fr.]</t>
    </r>
  </si>
  <si>
    <t>Synthèses des impacts des différents scénarios</t>
  </si>
  <si>
    <r>
      <t xml:space="preserve">Impact financier par kg de lait </t>
    </r>
    <r>
      <rPr>
        <u/>
        <sz val="9"/>
        <color theme="1"/>
        <rFont val="Aptos Narrow"/>
        <family val="2"/>
        <scheme val="minor"/>
      </rPr>
      <t>effectivement</t>
    </r>
    <r>
      <rPr>
        <sz val="9"/>
        <color theme="1"/>
        <rFont val="Aptos Narrow"/>
        <family val="2"/>
        <scheme val="minor"/>
      </rPr>
      <t xml:space="preserve"> commercialisé [Fr./kg]</t>
    </r>
  </si>
  <si>
    <t>Solde de lait à traire selon la semaine de lactation pour la réforme</t>
  </si>
  <si>
    <t>Semaine de lactation</t>
  </si>
  <si>
    <t>Solde de lait à traire [%]</t>
  </si>
  <si>
    <t>B1 Modèle de base avec diminution volontaire de 5% dont 5% par rapport à 2025</t>
  </si>
  <si>
    <t>B2 Modèle de base avec diminution volontaire de 10% dont 10% par rapport à 2025</t>
  </si>
  <si>
    <t>B3 Modèle de base avec diminution volontaire de 10% dont 5% par rapport à 2025</t>
  </si>
  <si>
    <t>B4 Modèle de base avec diminution volontaire de 20% dont 10% par rapport à 2025</t>
  </si>
  <si>
    <r>
      <t xml:space="preserve">Taux d'évolution </t>
    </r>
    <r>
      <rPr>
        <u/>
        <sz val="11"/>
        <color theme="1"/>
        <rFont val="Aptos Narrow"/>
        <family val="2"/>
        <scheme val="minor"/>
      </rPr>
      <t>sans</t>
    </r>
    <r>
      <rPr>
        <sz val="11"/>
        <color theme="1"/>
        <rFont val="Aptos Narrow"/>
        <family val="2"/>
        <scheme val="minor"/>
      </rPr>
      <t xml:space="preserve"> réduction (réf. 2025)</t>
    </r>
  </si>
  <si>
    <r>
      <t xml:space="preserve">Taux d'évolution </t>
    </r>
    <r>
      <rPr>
        <u/>
        <sz val="11"/>
        <color theme="1"/>
        <rFont val="Aptos Narrow"/>
        <family val="2"/>
        <scheme val="minor"/>
      </rPr>
      <t>avec</t>
    </r>
    <r>
      <rPr>
        <sz val="11"/>
        <color theme="1"/>
        <rFont val="Aptos Narrow"/>
        <family val="2"/>
        <scheme val="minor"/>
      </rPr>
      <t xml:space="preserve"> réduction (réf. 2025)</t>
    </r>
  </si>
  <si>
    <t>A1 Modèle de planification avec réduction volontaire de 7.6%</t>
  </si>
  <si>
    <t>A2 Modèle de planification avec surlivraisons de 14%</t>
  </si>
  <si>
    <t xml:space="preserve">Hypothèse de prix du lait de février à juin selon information Mooh du 14.01.2026 incluant la contribution fédérale de 5cts. Spécificité du modèle de planification : bonus 1.5 cts sur l’ensemble du volume de lait livré, pénalité moyenne de 32.8 cts par kg de lait surlivré. Spécificité du modèle de base 4% valorisé en lait C à 21cts.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</si>
</sst>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  <numFmt numFmtId="167" formatCode="0.0%"/>
    <numFmt numFmtId="168" formatCode="0.000"/>
    <numFmt numFmtId="169" formatCode="_-* #,##0.000_-;\-* #,##0.000_-;_-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u/>
      <sz val="9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/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2" fontId="0" fillId="0" borderId="0" xfId="0" applyNumberFormat="1"/>
    <xf numFmtId="1" fontId="0" fillId="0" borderId="0" xfId="0" applyNumberFormat="1"/>
    <xf numFmtId="43" fontId="0" fillId="0" borderId="1" xfId="1" applyFont="1" applyBorder="1"/>
    <xf numFmtId="43" fontId="0" fillId="0" borderId="0" xfId="1" applyFont="1"/>
    <xf numFmtId="43" fontId="2" fillId="0" borderId="0" xfId="1" applyFont="1"/>
    <xf numFmtId="0" fontId="5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0" xfId="0" applyNumberFormat="1" applyFont="1"/>
    <xf numFmtId="43" fontId="1" fillId="0" borderId="1" xfId="1" applyFont="1" applyFill="1" applyBorder="1"/>
    <xf numFmtId="164" fontId="0" fillId="0" borderId="1" xfId="0" applyNumberFormat="1" applyBorder="1"/>
    <xf numFmtId="0" fontId="0" fillId="4" borderId="1" xfId="0" applyFill="1" applyBorder="1"/>
    <xf numFmtId="164" fontId="5" fillId="0" borderId="1" xfId="0" applyNumberFormat="1" applyFont="1" applyBorder="1"/>
    <xf numFmtId="0" fontId="5" fillId="0" borderId="1" xfId="0" applyFont="1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5" fillId="0" borderId="3" xfId="0" applyFont="1" applyBorder="1"/>
    <xf numFmtId="0" fontId="5" fillId="0" borderId="5" xfId="0" applyFont="1" applyBorder="1"/>
    <xf numFmtId="0" fontId="5" fillId="0" borderId="4" xfId="0" applyFont="1" applyBorder="1"/>
    <xf numFmtId="0" fontId="6" fillId="0" borderId="0" xfId="0" applyFont="1"/>
    <xf numFmtId="0" fontId="7" fillId="0" borderId="0" xfId="0" applyFont="1"/>
    <xf numFmtId="164" fontId="0" fillId="0" borderId="1" xfId="1" applyNumberFormat="1" applyFont="1" applyFill="1" applyBorder="1"/>
    <xf numFmtId="43" fontId="0" fillId="0" borderId="1" xfId="1" applyFont="1" applyFill="1" applyBorder="1"/>
    <xf numFmtId="164" fontId="1" fillId="0" borderId="1" xfId="1" applyNumberFormat="1" applyFont="1" applyFill="1" applyBorder="1"/>
    <xf numFmtId="164" fontId="0" fillId="0" borderId="0" xfId="1" applyNumberFormat="1" applyFont="1"/>
    <xf numFmtId="43" fontId="5" fillId="0" borderId="1" xfId="1" applyFont="1" applyFill="1" applyBorder="1"/>
    <xf numFmtId="0" fontId="0" fillId="2" borderId="0" xfId="0" applyFill="1" applyProtection="1">
      <protection locked="0"/>
    </xf>
    <xf numFmtId="164" fontId="0" fillId="2" borderId="0" xfId="1" applyNumberFormat="1" applyFont="1" applyFill="1" applyProtection="1">
      <protection locked="0"/>
    </xf>
    <xf numFmtId="9" fontId="0" fillId="2" borderId="1" xfId="2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43" fontId="0" fillId="2" borderId="1" xfId="1" applyFont="1" applyFill="1" applyBorder="1" applyProtection="1">
      <protection locked="0"/>
    </xf>
    <xf numFmtId="164" fontId="5" fillId="2" borderId="1" xfId="1" applyNumberFormat="1" applyFont="1" applyFill="1" applyBorder="1" applyProtection="1">
      <protection locked="0"/>
    </xf>
    <xf numFmtId="43" fontId="5" fillId="2" borderId="1" xfId="1" applyFont="1" applyFill="1" applyBorder="1" applyProtection="1">
      <protection locked="0"/>
    </xf>
    <xf numFmtId="164" fontId="1" fillId="2" borderId="1" xfId="1" applyNumberFormat="1" applyFont="1" applyFill="1" applyBorder="1" applyProtection="1">
      <protection locked="0"/>
    </xf>
    <xf numFmtId="165" fontId="5" fillId="2" borderId="1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43" fontId="1" fillId="2" borderId="1" xfId="1" applyFont="1" applyFill="1" applyBorder="1" applyProtection="1">
      <protection locked="0"/>
    </xf>
    <xf numFmtId="167" fontId="0" fillId="2" borderId="0" xfId="2" applyNumberFormat="1" applyFont="1" applyFill="1" applyProtection="1">
      <protection locked="0"/>
    </xf>
    <xf numFmtId="9" fontId="0" fillId="0" borderId="0" xfId="2" applyFont="1"/>
    <xf numFmtId="9" fontId="0" fillId="0" borderId="1" xfId="0" applyNumberForma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2" fontId="0" fillId="0" borderId="1" xfId="0" applyNumberFormat="1" applyBorder="1"/>
    <xf numFmtId="168" fontId="0" fillId="2" borderId="0" xfId="0" applyNumberFormat="1" applyFill="1" applyProtection="1"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textRotation="90" wrapText="1"/>
    </xf>
    <xf numFmtId="0" fontId="12" fillId="0" borderId="11" xfId="0" applyFont="1" applyBorder="1" applyAlignment="1">
      <alignment horizontal="left" textRotation="90" wrapText="1"/>
    </xf>
    <xf numFmtId="0" fontId="12" fillId="0" borderId="12" xfId="0" applyFont="1" applyBorder="1" applyAlignment="1">
      <alignment horizontal="left" textRotation="90" wrapText="1"/>
    </xf>
    <xf numFmtId="0" fontId="13" fillId="0" borderId="14" xfId="0" applyFont="1" applyBorder="1" applyAlignment="1">
      <alignment horizontal="left" vertical="center" wrapText="1"/>
    </xf>
    <xf numFmtId="169" fontId="13" fillId="0" borderId="10" xfId="1" applyNumberFormat="1" applyFont="1" applyBorder="1" applyAlignment="1">
      <alignment vertical="center"/>
    </xf>
    <xf numFmtId="169" fontId="13" fillId="0" borderId="11" xfId="1" applyNumberFormat="1" applyFont="1" applyBorder="1" applyAlignment="1">
      <alignment vertical="center"/>
    </xf>
    <xf numFmtId="169" fontId="13" fillId="0" borderId="12" xfId="1" applyNumberFormat="1" applyFont="1" applyBorder="1" applyAlignment="1">
      <alignment vertic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10" fontId="0" fillId="0" borderId="0" xfId="2" applyNumberFormat="1" applyFont="1"/>
    <xf numFmtId="164" fontId="0" fillId="0" borderId="0" xfId="1" applyNumberFormat="1" applyFont="1" applyFill="1" applyProtection="1"/>
    <xf numFmtId="10" fontId="0" fillId="0" borderId="2" xfId="2" applyNumberFormat="1" applyFont="1" applyBorder="1"/>
    <xf numFmtId="0" fontId="13" fillId="0" borderId="0" xfId="0" applyFont="1"/>
    <xf numFmtId="10" fontId="0" fillId="0" borderId="0" xfId="2" applyNumberFormat="1" applyFont="1" applyBorder="1"/>
    <xf numFmtId="0" fontId="15" fillId="0" borderId="0" xfId="0" applyFont="1"/>
    <xf numFmtId="164" fontId="15" fillId="0" borderId="0" xfId="1" applyNumberFormat="1" applyFont="1" applyFill="1" applyProtection="1">
      <protection locked="0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169" fontId="0" fillId="0" borderId="0" xfId="1" applyNumberFormat="1" applyFont="1" applyFill="1" applyProtection="1"/>
    <xf numFmtId="169" fontId="2" fillId="0" borderId="2" xfId="1" applyNumberFormat="1" applyFont="1" applyBorder="1"/>
    <xf numFmtId="164" fontId="0" fillId="0" borderId="20" xfId="1" applyNumberFormat="1" applyFont="1" applyFill="1" applyBorder="1" applyProtection="1"/>
    <xf numFmtId="164" fontId="0" fillId="0" borderId="0" xfId="0" applyNumberFormat="1"/>
    <xf numFmtId="164" fontId="0" fillId="0" borderId="20" xfId="1" applyNumberFormat="1" applyFont="1" applyBorder="1"/>
    <xf numFmtId="169" fontId="0" fillId="0" borderId="0" xfId="0" applyNumberFormat="1"/>
    <xf numFmtId="164" fontId="2" fillId="0" borderId="2" xfId="0" applyNumberFormat="1" applyFont="1" applyBorder="1"/>
    <xf numFmtId="0" fontId="14" fillId="7" borderId="0" xfId="0" applyFont="1" applyFill="1" applyProtection="1">
      <protection locked="0"/>
    </xf>
    <xf numFmtId="166" fontId="14" fillId="7" borderId="0" xfId="0" applyNumberFormat="1" applyFont="1" applyFill="1" applyProtection="1">
      <protection locked="0"/>
    </xf>
    <xf numFmtId="1" fontId="14" fillId="7" borderId="0" xfId="0" applyNumberFormat="1" applyFont="1" applyFill="1" applyProtection="1">
      <protection locked="0"/>
    </xf>
    <xf numFmtId="0" fontId="18" fillId="0" borderId="0" xfId="0" applyFont="1"/>
    <xf numFmtId="0" fontId="0" fillId="0" borderId="1" xfId="0" applyBorder="1" applyAlignment="1">
      <alignment horizontal="center"/>
    </xf>
    <xf numFmtId="169" fontId="0" fillId="0" borderId="1" xfId="0" applyNumberFormat="1" applyBorder="1"/>
    <xf numFmtId="0" fontId="2" fillId="0" borderId="1" xfId="0" applyFont="1" applyBorder="1" applyAlignment="1">
      <alignment horizontal="center" vertical="top"/>
    </xf>
    <xf numFmtId="1" fontId="0" fillId="0" borderId="1" xfId="0" applyNumberFormat="1" applyBorder="1"/>
    <xf numFmtId="169" fontId="0" fillId="0" borderId="0" xfId="1" applyNumberFormat="1" applyFont="1"/>
    <xf numFmtId="0" fontId="12" fillId="0" borderId="7" xfId="0" applyFont="1" applyBorder="1" applyAlignment="1">
      <alignment horizontal="center" vertical="top" wrapText="1"/>
    </xf>
    <xf numFmtId="164" fontId="0" fillId="0" borderId="27" xfId="0" applyNumberFormat="1" applyBorder="1"/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43" fontId="5" fillId="8" borderId="1" xfId="1" applyFont="1" applyFill="1" applyBorder="1" applyProtection="1">
      <protection locked="0"/>
    </xf>
    <xf numFmtId="0" fontId="17" fillId="9" borderId="0" xfId="0" applyFont="1" applyFill="1" applyAlignment="1">
      <alignment vertical="top" wrapText="1"/>
    </xf>
    <xf numFmtId="0" fontId="17" fillId="9" borderId="0" xfId="0" applyFont="1" applyFill="1" applyAlignment="1">
      <alignment horizontal="left" vertical="top" wrapText="1"/>
    </xf>
    <xf numFmtId="166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69" fontId="2" fillId="0" borderId="24" xfId="1" applyNumberFormat="1" applyFont="1" applyBorder="1" applyAlignment="1">
      <alignment horizontal="center"/>
    </xf>
    <xf numFmtId="169" fontId="2" fillId="0" borderId="25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9" fontId="0" fillId="0" borderId="1" xfId="1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164" fontId="0" fillId="2" borderId="3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left"/>
    </xf>
    <xf numFmtId="0" fontId="3" fillId="2" borderId="6" xfId="0" applyFont="1" applyFill="1" applyBorder="1" applyAlignment="1" applyProtection="1">
      <alignment horizontal="left"/>
      <protection locked="0"/>
    </xf>
    <xf numFmtId="0" fontId="17" fillId="6" borderId="21" xfId="0" applyFont="1" applyFill="1" applyBorder="1" applyAlignment="1">
      <alignment horizontal="left" wrapText="1"/>
    </xf>
    <xf numFmtId="0" fontId="17" fillId="6" borderId="22" xfId="0" applyFont="1" applyFill="1" applyBorder="1" applyAlignment="1">
      <alignment horizontal="left" wrapText="1"/>
    </xf>
    <xf numFmtId="0" fontId="17" fillId="6" borderId="23" xfId="0" applyFont="1" applyFill="1" applyBorder="1" applyAlignment="1">
      <alignment horizontal="left" wrapText="1"/>
    </xf>
    <xf numFmtId="0" fontId="0" fillId="2" borderId="0" xfId="0" applyFill="1" applyAlignment="1" applyProtection="1">
      <alignment horizontal="center"/>
      <protection locked="0"/>
    </xf>
    <xf numFmtId="168" fontId="0" fillId="0" borderId="3" xfId="0" applyNumberFormat="1" applyBorder="1" applyAlignment="1">
      <alignment horizontal="right" vertical="center"/>
    </xf>
    <xf numFmtId="168" fontId="0" fillId="0" borderId="4" xfId="0" applyNumberForma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168" fontId="0" fillId="0" borderId="0" xfId="0" applyNumberFormat="1" applyAlignment="1">
      <alignment horizontal="right" vertical="center"/>
    </xf>
    <xf numFmtId="168" fontId="2" fillId="0" borderId="0" xfId="0" applyNumberFormat="1" applyFont="1" applyAlignment="1">
      <alignment horizontal="right" vertical="center"/>
    </xf>
    <xf numFmtId="168" fontId="2" fillId="0" borderId="24" xfId="0" applyNumberFormat="1" applyFont="1" applyBorder="1" applyAlignment="1">
      <alignment horizontal="right" vertical="center"/>
    </xf>
    <xf numFmtId="168" fontId="2" fillId="0" borderId="25" xfId="0" applyNumberFormat="1" applyFont="1" applyBorder="1" applyAlignment="1">
      <alignment horizontal="right" vertical="center"/>
    </xf>
    <xf numFmtId="168" fontId="0" fillId="0" borderId="28" xfId="0" applyNumberFormat="1" applyBorder="1" applyAlignment="1">
      <alignment horizontal="right" vertical="center"/>
    </xf>
    <xf numFmtId="168" fontId="0" fillId="0" borderId="29" xfId="0" applyNumberFormat="1" applyBorder="1" applyAlignment="1">
      <alignment horizontal="right" vertical="center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164" fontId="13" fillId="0" borderId="10" xfId="1" applyNumberFormat="1" applyFont="1" applyBorder="1" applyAlignment="1">
      <alignment horizontal="right" vertical="center"/>
    </xf>
    <xf numFmtId="169" fontId="13" fillId="0" borderId="10" xfId="1" applyNumberFormat="1" applyFont="1" applyBorder="1" applyAlignment="1">
      <alignment horizontal="right" vertical="center"/>
    </xf>
  </cellXfs>
  <cellStyles count="3">
    <cellStyle name="Milliers" xfId="1" builtinId="3"/>
    <cellStyle name="Normal" xfId="0" builtinId="0"/>
    <cellStyle name="Pourcentage" xfId="2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</dxf>
    <dxf>
      <font>
        <color auto="1"/>
      </font>
      <fill>
        <patternFill>
          <bgColor rgb="FFFFFFCC"/>
        </patternFill>
      </fill>
    </dxf>
    <dxf>
      <font>
        <color auto="1"/>
      </font>
    </dxf>
    <dxf>
      <font>
        <color auto="1"/>
      </font>
      <fill>
        <patternFill>
          <bgColor rgb="FFFFFFCC"/>
        </patternFill>
      </fill>
    </dxf>
    <dxf>
      <font>
        <color auto="1"/>
      </font>
    </dxf>
    <dxf>
      <font>
        <color auto="1"/>
      </font>
      <fill>
        <patternFill>
          <bgColor rgb="FFFFFFCC"/>
        </patternFill>
      </fill>
    </dxf>
    <dxf>
      <font>
        <color auto="1"/>
      </font>
    </dxf>
    <dxf>
      <font>
        <color auto="1"/>
      </font>
      <fill>
        <patternFill>
          <bgColor rgb="FFFFFFCC"/>
        </patternFill>
      </fill>
    </dxf>
    <dxf>
      <font>
        <color auto="1"/>
      </font>
    </dxf>
    <dxf>
      <font>
        <color auto="1"/>
      </font>
      <fill>
        <patternFill>
          <bgColor rgb="FFFFFFCC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B1DD-ADE8-4037-BC60-795C59A63210}">
  <dimension ref="A1:T152"/>
  <sheetViews>
    <sheetView showGridLines="0" zoomScale="115" zoomScaleNormal="115" workbookViewId="0">
      <selection activeCell="I137" sqref="I137:J137"/>
    </sheetView>
  </sheetViews>
  <sheetFormatPr baseColWidth="10" defaultColWidth="0" defaultRowHeight="15" zeroHeight="1" x14ac:dyDescent="0.25"/>
  <cols>
    <col min="1" max="11" width="12.7109375" customWidth="1"/>
    <col min="12" max="12" width="0.7109375" customWidth="1"/>
    <col min="13" max="13" width="30.5703125" hidden="1" customWidth="1"/>
    <col min="14" max="14" width="10.85546875" hidden="1" customWidth="1"/>
    <col min="15" max="15" width="14.7109375" hidden="1" customWidth="1"/>
    <col min="16" max="16" width="7.7109375" hidden="1" customWidth="1"/>
    <col min="17" max="17" width="14.7109375" hidden="1" customWidth="1"/>
    <col min="18" max="18" width="7.7109375" hidden="1" customWidth="1"/>
    <col min="19" max="19" width="14.7109375" hidden="1" customWidth="1"/>
    <col min="20" max="20" width="7.7109375" hidden="1" customWidth="1"/>
    <col min="21" max="16384" width="11.42578125" hidden="1"/>
  </cols>
  <sheetData>
    <row r="1" spans="1:11" ht="21.75" thickBot="1" x14ac:dyDescent="0.4">
      <c r="A1" s="127" t="s">
        <v>0</v>
      </c>
      <c r="B1" s="127"/>
      <c r="C1" s="128" t="s">
        <v>141</v>
      </c>
      <c r="D1" s="128"/>
      <c r="E1" s="128"/>
      <c r="F1" s="128"/>
      <c r="G1" s="128"/>
      <c r="H1" s="128"/>
      <c r="I1" s="128"/>
      <c r="J1" s="128"/>
      <c r="K1" s="128"/>
    </row>
    <row r="2" spans="1:11" ht="4.5" customHeight="1" thickBot="1" x14ac:dyDescent="0.3"/>
    <row r="3" spans="1:11" ht="27" customHeight="1" thickBot="1" x14ac:dyDescent="0.3">
      <c r="A3" s="129" t="s">
        <v>143</v>
      </c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4.5" customHeight="1" x14ac:dyDescent="0.25"/>
    <row r="5" spans="1:11" ht="13.5" customHeight="1" x14ac:dyDescent="0.25">
      <c r="A5" t="s">
        <v>1</v>
      </c>
      <c r="D5" s="132" t="s">
        <v>2</v>
      </c>
      <c r="E5" s="132"/>
      <c r="G5" t="s">
        <v>3</v>
      </c>
      <c r="K5" s="31">
        <v>150</v>
      </c>
    </row>
    <row r="6" spans="1:11" ht="13.5" customHeight="1" x14ac:dyDescent="0.25">
      <c r="A6" s="71" t="str">
        <f>IF(D5="Modèle de base","",IF(D5="Modèle de planification","Quantité mensuelle annoncée [kg]"))</f>
        <v>Quantité mensuelle annoncée [kg]</v>
      </c>
      <c r="B6" s="71"/>
      <c r="C6" s="71"/>
      <c r="D6" s="71"/>
      <c r="E6" s="72">
        <v>25500</v>
      </c>
      <c r="G6" t="s">
        <v>4</v>
      </c>
      <c r="K6" s="50">
        <f>0.824*0.96+0.21*0.04+0.05</f>
        <v>0.84943999999999997</v>
      </c>
    </row>
    <row r="7" spans="1:11" ht="13.5" customHeight="1" x14ac:dyDescent="0.25">
      <c r="A7" t="s">
        <v>5</v>
      </c>
      <c r="E7" s="31">
        <v>306000</v>
      </c>
      <c r="G7" t="s">
        <v>6</v>
      </c>
      <c r="K7" s="50">
        <f>0.824+0.05+0.015</f>
        <v>0.88900000000000001</v>
      </c>
    </row>
    <row r="8" spans="1:11" ht="13.5" customHeight="1" x14ac:dyDescent="0.25">
      <c r="A8" t="s">
        <v>7</v>
      </c>
      <c r="E8" s="31">
        <v>127500</v>
      </c>
      <c r="G8" t="s">
        <v>8</v>
      </c>
      <c r="H8" s="73"/>
      <c r="I8" s="73"/>
      <c r="J8" s="73"/>
      <c r="K8" s="50">
        <f>((0.85-0.38)+3*(0.8-0.36)+(0.87-0.18))/5+0.05+0.015</f>
        <v>0.56100000000000017</v>
      </c>
    </row>
    <row r="9" spans="1:11" ht="13.5" customHeight="1" thickBot="1" x14ac:dyDescent="0.3">
      <c r="A9" t="s">
        <v>9</v>
      </c>
      <c r="G9" s="31">
        <v>133000</v>
      </c>
      <c r="I9" s="69"/>
      <c r="J9" s="74" t="s">
        <v>139</v>
      </c>
      <c r="K9" s="66">
        <f>(G9/E8)-1</f>
        <v>4.3137254901960853E-2</v>
      </c>
    </row>
    <row r="10" spans="1:11" ht="13.5" customHeight="1" thickTop="1" thickBot="1" x14ac:dyDescent="0.3">
      <c r="A10" t="s">
        <v>10</v>
      </c>
      <c r="G10" s="67">
        <f>G9-E27-E90-E130</f>
        <v>123320.7390219919</v>
      </c>
      <c r="I10" s="69"/>
      <c r="J10" s="74" t="s">
        <v>140</v>
      </c>
      <c r="K10" s="68">
        <f>(G10/E8)-1</f>
        <v>-3.2778517474573277E-2</v>
      </c>
    </row>
    <row r="11" spans="1:11" ht="13.5" customHeight="1" thickTop="1" thickBot="1" x14ac:dyDescent="0.3">
      <c r="A11" t="str">
        <f>IF(D5="Modèle de base","Diminution de quantité par rapport à la même période 2025 [kg]",IF(D5="Modèle de planification","Surlivraisons dans le modèle de planification [kg]",""))</f>
        <v>Surlivraisons dans le modèle de planification [kg]</v>
      </c>
      <c r="F11" s="77">
        <f>IF(D5="Modèle de planification",IF(G10-(E6*5)&lt;=0,0,G10-(E6*5)),IF(D5="Modèle de base",IF(E8-G10&lt;0,0,E8-G10),""))</f>
        <v>0</v>
      </c>
      <c r="H11" s="70"/>
      <c r="I11" s="69"/>
      <c r="J11" s="74" t="str">
        <f>IF(D5="Modèle de planification","Taux de surlivraison en modèle planification","")</f>
        <v>Taux de surlivraison en modèle planification</v>
      </c>
      <c r="K11" s="66">
        <f>IF(D5="Modèle de planification",IF(F11&gt;0,F11/(E6*5),0),"")</f>
        <v>0</v>
      </c>
    </row>
    <row r="12" spans="1:11" ht="13.5" customHeight="1" thickBot="1" x14ac:dyDescent="0.3">
      <c r="H12" s="70"/>
      <c r="I12" s="69"/>
      <c r="J12" s="74" t="str">
        <f>IF(D5="Modèle de base","Supplément de prix pour diminution de la quantité produit en modèle de base [Fr./kg]",IF(D5="Modèle de planification","Diminution de prix pour surlivraison en modèle planification [Fr./kg]"))</f>
        <v>Diminution de prix pour surlivraison en modèle planification [Fr./kg]</v>
      </c>
      <c r="K12" s="75">
        <f>IF(D5="Modèle de planification",-K11*(K7-K8),IF(D5="Modèle de base",IF(K10&lt;=-0.1,0.04,IF(K10&lt;=-0.05,0.02,0))))</f>
        <v>0</v>
      </c>
    </row>
    <row r="13" spans="1:11" ht="13.5" customHeight="1" thickTop="1" thickBot="1" x14ac:dyDescent="0.3">
      <c r="C13" s="78"/>
      <c r="G13" s="75"/>
      <c r="J13" s="74" t="str">
        <f>IF(D5="Modèle de planification","Prix du lait après éventuelles réductions pour surlivraisons [Fr./kg]",IF(D5="Modèle de base","Prix du lait après mesures volontaire de réduction [Fr./kg]"))</f>
        <v>Prix du lait après éventuelles réductions pour surlivraisons [Fr./kg]</v>
      </c>
      <c r="K13" s="76">
        <f>IF(D5="Modèle de base",SUM(K6,K12),IF(D5="Modèle de planification",SUM(K7,K12)))</f>
        <v>0.88900000000000001</v>
      </c>
    </row>
    <row r="14" spans="1:11" ht="4.5" customHeight="1" thickTop="1" x14ac:dyDescent="0.25"/>
    <row r="15" spans="1:11" ht="15" customHeight="1" x14ac:dyDescent="0.25">
      <c r="A15" s="105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4.5" customHeight="1" x14ac:dyDescent="0.25"/>
    <row r="17" spans="1:11" x14ac:dyDescent="0.25">
      <c r="A17" s="104" t="s">
        <v>12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ht="13.5" customHeight="1" x14ac:dyDescent="0.25">
      <c r="A18" t="s">
        <v>13</v>
      </c>
      <c r="F18" s="30">
        <v>7.3</v>
      </c>
      <c r="H18" s="101"/>
      <c r="I18" s="101"/>
      <c r="J18" s="101"/>
      <c r="K18" s="101"/>
    </row>
    <row r="19" spans="1:11" ht="13.5" customHeight="1" x14ac:dyDescent="0.25">
      <c r="A19" t="s">
        <v>14</v>
      </c>
      <c r="F19" s="30">
        <v>144</v>
      </c>
      <c r="H19" s="101"/>
      <c r="I19" s="101"/>
      <c r="J19" s="101"/>
      <c r="K19" s="101"/>
    </row>
    <row r="20" spans="1:11" ht="13.5" customHeight="1" x14ac:dyDescent="0.25">
      <c r="A20" t="s">
        <v>15</v>
      </c>
      <c r="F20" s="82">
        <v>43</v>
      </c>
      <c r="G20" s="85" t="s">
        <v>16</v>
      </c>
      <c r="H20" s="101"/>
      <c r="I20" s="101"/>
      <c r="J20" s="101"/>
      <c r="K20" s="101"/>
    </row>
    <row r="21" spans="1:11" ht="13.5" customHeight="1" x14ac:dyDescent="0.25">
      <c r="A21" t="s">
        <v>17</v>
      </c>
      <c r="F21" s="2">
        <f>F20/150</f>
        <v>0.28666666666666668</v>
      </c>
      <c r="H21" s="101"/>
      <c r="I21" s="101"/>
      <c r="J21" s="101"/>
      <c r="K21" s="101"/>
    </row>
    <row r="22" spans="1:11" ht="13.5" customHeight="1" x14ac:dyDescent="0.25">
      <c r="A22" t="s">
        <v>18</v>
      </c>
      <c r="E22" s="3"/>
      <c r="F22">
        <v>45</v>
      </c>
      <c r="H22" s="101"/>
      <c r="I22" s="101"/>
      <c r="J22" s="101"/>
      <c r="K22" s="101"/>
    </row>
    <row r="23" spans="1:11" ht="13.5" customHeight="1" x14ac:dyDescent="0.25">
      <c r="A23" t="s">
        <v>19</v>
      </c>
      <c r="D23" s="5"/>
      <c r="F23" s="3">
        <f>F20*F18/3.14</f>
        <v>99.968152866242022</v>
      </c>
    </row>
    <row r="24" spans="1:11" ht="13.5" customHeight="1" x14ac:dyDescent="0.25">
      <c r="A24" t="s">
        <v>20</v>
      </c>
      <c r="F24" s="2">
        <f>F23/150</f>
        <v>0.66645435244161344</v>
      </c>
    </row>
    <row r="25" spans="1:11" ht="4.5" customHeight="1" x14ac:dyDescent="0.25">
      <c r="D25" s="2"/>
      <c r="E25" s="28"/>
    </row>
    <row r="26" spans="1:11" ht="15.75" thickBot="1" x14ac:dyDescent="0.3">
      <c r="A26" s="104" t="s">
        <v>21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1" ht="13.5" customHeight="1" thickBot="1" x14ac:dyDescent="0.3">
      <c r="A27" t="s">
        <v>22</v>
      </c>
      <c r="D27" s="2"/>
      <c r="E27" s="79">
        <f>(F23*F22)</f>
        <v>4498.5668789808906</v>
      </c>
    </row>
    <row r="28" spans="1:11" ht="4.9000000000000004" customHeight="1" x14ac:dyDescent="0.25">
      <c r="D28" s="2"/>
      <c r="E28" s="3"/>
    </row>
    <row r="29" spans="1:11" x14ac:dyDescent="0.25">
      <c r="A29" s="104" t="s">
        <v>23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1" ht="4.9000000000000004" customHeight="1" x14ac:dyDescent="0.25"/>
    <row r="31" spans="1:11" ht="30" customHeight="1" x14ac:dyDescent="0.25">
      <c r="A31" s="109" t="s">
        <v>24</v>
      </c>
      <c r="B31" s="110"/>
      <c r="C31" s="88" t="s">
        <v>25</v>
      </c>
      <c r="D31" s="88" t="s">
        <v>26</v>
      </c>
      <c r="E31" s="88" t="s">
        <v>27</v>
      </c>
      <c r="F31" s="88" t="s">
        <v>28</v>
      </c>
      <c r="G31" s="124" t="s">
        <v>29</v>
      </c>
      <c r="H31" s="124"/>
      <c r="I31" s="120" t="s">
        <v>30</v>
      </c>
      <c r="J31" s="121"/>
    </row>
    <row r="32" spans="1:11" ht="13.5" customHeight="1" x14ac:dyDescent="0.25">
      <c r="A32" s="107" t="s">
        <v>31</v>
      </c>
      <c r="B32" s="108"/>
      <c r="C32" s="8">
        <f>-F20*F22/100</f>
        <v>-19.350000000000001</v>
      </c>
      <c r="D32" s="86" t="s">
        <v>32</v>
      </c>
      <c r="E32" s="8">
        <f>F19</f>
        <v>144</v>
      </c>
      <c r="F32" s="4">
        <f>-C32*E32</f>
        <v>2786.4</v>
      </c>
      <c r="G32" s="122">
        <f>F32/$G$10</f>
        <v>2.2594739717729868E-2</v>
      </c>
      <c r="H32" s="122"/>
      <c r="I32" s="122">
        <f>IFERROR(F32/E27,0)</f>
        <v>0.61939726027397279</v>
      </c>
      <c r="J32" s="122"/>
    </row>
    <row r="33" spans="1:11" ht="13.5" customHeight="1" x14ac:dyDescent="0.25">
      <c r="A33" s="107" t="s">
        <v>33</v>
      </c>
      <c r="B33" s="108"/>
      <c r="C33" s="13">
        <f>-E27</f>
        <v>-4498.5668789808906</v>
      </c>
      <c r="D33" s="86" t="s">
        <v>34</v>
      </c>
      <c r="E33" s="87">
        <f>K13</f>
        <v>0.88900000000000001</v>
      </c>
      <c r="F33" s="4">
        <f>C33*E33</f>
        <v>-3999.2259554140119</v>
      </c>
      <c r="G33" s="122">
        <f>F33/$G$10</f>
        <v>-3.2429467964028548E-2</v>
      </c>
      <c r="H33" s="122"/>
      <c r="I33" s="122">
        <f>IFERROR(F33/E27,0)</f>
        <v>-0.88900000000000001</v>
      </c>
      <c r="J33" s="122"/>
    </row>
    <row r="34" spans="1:11" ht="4.9000000000000004" customHeight="1" thickBot="1" x14ac:dyDescent="0.3">
      <c r="F34" s="5"/>
      <c r="G34" s="5"/>
      <c r="I34" s="5"/>
    </row>
    <row r="35" spans="1:11" ht="13.5" customHeight="1" thickTop="1" thickBot="1" x14ac:dyDescent="0.3">
      <c r="A35" s="1" t="s">
        <v>35</v>
      </c>
      <c r="B35" s="1"/>
      <c r="F35" s="6">
        <f>SUM(F32:F33)</f>
        <v>-1212.8259554140118</v>
      </c>
      <c r="G35" s="111">
        <f>SUM(G32:G33)</f>
        <v>-9.8347282462986803E-3</v>
      </c>
      <c r="H35" s="112"/>
      <c r="I35" s="111">
        <f>SUM(I32:I33)</f>
        <v>-0.26960273972602722</v>
      </c>
      <c r="J35" s="112"/>
    </row>
    <row r="36" spans="1:11" ht="4.9000000000000004" customHeight="1" thickTop="1" x14ac:dyDescent="0.25"/>
    <row r="37" spans="1:11" x14ac:dyDescent="0.25">
      <c r="A37" s="105" t="s">
        <v>36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1" ht="4.5" customHeight="1" x14ac:dyDescent="0.25"/>
    <row r="39" spans="1:11" x14ac:dyDescent="0.25">
      <c r="A39" s="104" t="s">
        <v>12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ht="4.9000000000000004" customHeight="1" x14ac:dyDescent="0.25"/>
    <row r="41" spans="1:11" x14ac:dyDescent="0.25">
      <c r="A41" s="23" t="s">
        <v>37</v>
      </c>
      <c r="B41" s="24"/>
      <c r="C41" s="24"/>
      <c r="D41" s="24"/>
      <c r="E41" s="24"/>
      <c r="F41" s="24"/>
      <c r="G41" s="24"/>
      <c r="H41" s="24"/>
      <c r="I41" s="24"/>
    </row>
    <row r="42" spans="1:11" ht="4.9000000000000004" customHeight="1" x14ac:dyDescent="0.25"/>
    <row r="43" spans="1:11" ht="13.5" customHeight="1" x14ac:dyDescent="0.25">
      <c r="A43" s="9" t="s">
        <v>38</v>
      </c>
      <c r="B43" s="9"/>
      <c r="C43" s="106" t="s">
        <v>39</v>
      </c>
      <c r="D43" s="106"/>
      <c r="E43" s="9" t="s">
        <v>40</v>
      </c>
      <c r="F43" s="106" t="s">
        <v>41</v>
      </c>
      <c r="G43" s="106"/>
    </row>
    <row r="44" spans="1:11" ht="13.5" customHeight="1" x14ac:dyDescent="0.25">
      <c r="A44" s="8" t="s">
        <v>42</v>
      </c>
      <c r="B44" s="8"/>
      <c r="C44" s="103">
        <v>16.600000000000001</v>
      </c>
      <c r="D44" s="103"/>
      <c r="E44" s="32">
        <v>0.15</v>
      </c>
      <c r="F44" s="102">
        <f>IFERROR(C44/E44,"")</f>
        <v>110.66666666666669</v>
      </c>
      <c r="G44" s="102"/>
    </row>
    <row r="45" spans="1:11" ht="13.5" customHeight="1" x14ac:dyDescent="0.25">
      <c r="A45" s="107" t="s">
        <v>43</v>
      </c>
      <c r="B45" s="108"/>
      <c r="C45" s="103">
        <v>15.32</v>
      </c>
      <c r="D45" s="103"/>
      <c r="E45" s="32">
        <v>0.88</v>
      </c>
      <c r="F45" s="102">
        <f>IFERROR(C45/E45,"")</f>
        <v>17.40909090909091</v>
      </c>
      <c r="G45" s="102"/>
    </row>
    <row r="46" spans="1:11" ht="13.5" customHeight="1" x14ac:dyDescent="0.25">
      <c r="A46" s="8" t="s">
        <v>44</v>
      </c>
      <c r="B46" s="8"/>
      <c r="C46" s="103">
        <v>23.1</v>
      </c>
      <c r="D46" s="103"/>
      <c r="E46" s="32">
        <v>0.3</v>
      </c>
      <c r="F46" s="102">
        <f>IFERROR(C46/E46,"")</f>
        <v>77.000000000000014</v>
      </c>
      <c r="G46" s="102"/>
    </row>
    <row r="47" spans="1:11" ht="13.5" customHeight="1" x14ac:dyDescent="0.25">
      <c r="A47" s="8" t="s">
        <v>45</v>
      </c>
      <c r="B47" s="8"/>
      <c r="C47" s="103">
        <v>11.68</v>
      </c>
      <c r="D47" s="103"/>
      <c r="E47" s="32">
        <v>0.32</v>
      </c>
      <c r="F47" s="102">
        <f>IFERROR(C47/E47,"")</f>
        <v>36.5</v>
      </c>
      <c r="G47" s="102"/>
    </row>
    <row r="48" spans="1:11" ht="13.5" customHeight="1" x14ac:dyDescent="0.25">
      <c r="A48" s="115" t="s">
        <v>46</v>
      </c>
      <c r="B48" s="116"/>
      <c r="C48" s="103"/>
      <c r="D48" s="103"/>
      <c r="E48" s="32"/>
      <c r="F48" s="102" t="str">
        <f>IFERROR(C48/E48,"")</f>
        <v/>
      </c>
      <c r="G48" s="102"/>
    </row>
    <row r="49" spans="1:11" ht="13.5" customHeight="1" x14ac:dyDescent="0.25">
      <c r="A49" s="1" t="s">
        <v>47</v>
      </c>
      <c r="B49" s="1"/>
      <c r="C49" s="117">
        <f>SUM(C44:D48)</f>
        <v>66.7</v>
      </c>
      <c r="D49" s="117"/>
      <c r="E49" s="1"/>
      <c r="F49" s="118">
        <f>SUM(F44:G48)</f>
        <v>241.57575757575762</v>
      </c>
      <c r="G49" s="118"/>
    </row>
    <row r="50" spans="1:11" ht="4.9000000000000004" customHeight="1" x14ac:dyDescent="0.25"/>
    <row r="51" spans="1:11" x14ac:dyDescent="0.25">
      <c r="A51" s="23" t="s">
        <v>48</v>
      </c>
      <c r="B51" s="24"/>
      <c r="C51" s="24"/>
      <c r="D51" s="24"/>
      <c r="E51" s="24"/>
      <c r="F51" s="24"/>
      <c r="G51" s="24"/>
      <c r="H51" s="24"/>
      <c r="I51" s="24"/>
    </row>
    <row r="52" spans="1:11" ht="13.5" customHeight="1" x14ac:dyDescent="0.25">
      <c r="A52" t="s">
        <v>49</v>
      </c>
      <c r="D52" s="31">
        <v>3200</v>
      </c>
    </row>
    <row r="53" spans="1:11" ht="13.5" customHeight="1" x14ac:dyDescent="0.25">
      <c r="A53" t="s">
        <v>50</v>
      </c>
      <c r="D53" s="31">
        <v>3300</v>
      </c>
    </row>
    <row r="54" spans="1:11" ht="13.5" customHeight="1" x14ac:dyDescent="0.25">
      <c r="A54" t="s">
        <v>51</v>
      </c>
      <c r="D54" s="31">
        <v>650</v>
      </c>
    </row>
    <row r="55" spans="1:11" ht="13.5" customHeight="1" x14ac:dyDescent="0.25">
      <c r="A55" t="s">
        <v>52</v>
      </c>
      <c r="D55" s="33">
        <v>3.5</v>
      </c>
      <c r="F55" t="s">
        <v>53</v>
      </c>
      <c r="K55" s="43">
        <f>VLOOKUP(D56,'Solde de lait à traire'!$A$4:$B$47,2,FALSE)/100</f>
        <v>0.35438487128960106</v>
      </c>
    </row>
    <row r="56" spans="1:11" ht="13.5" customHeight="1" x14ac:dyDescent="0.25">
      <c r="A56" t="s">
        <v>54</v>
      </c>
      <c r="D56" s="31">
        <v>25</v>
      </c>
      <c r="F56" t="s">
        <v>55</v>
      </c>
      <c r="K56" s="43">
        <f>(44-D56)/44</f>
        <v>0.43181818181818182</v>
      </c>
    </row>
    <row r="57" spans="1:11" ht="13.5" customHeight="1" x14ac:dyDescent="0.25">
      <c r="A57" t="s">
        <v>56</v>
      </c>
      <c r="I57" s="83">
        <v>1</v>
      </c>
      <c r="J57" s="85" t="s">
        <v>16</v>
      </c>
    </row>
    <row r="58" spans="1:11" ht="4.9000000000000004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</row>
    <row r="59" spans="1:11" x14ac:dyDescent="0.25">
      <c r="A59" s="23" t="s">
        <v>57</v>
      </c>
      <c r="B59" s="24"/>
      <c r="C59" s="24"/>
      <c r="D59" s="24"/>
      <c r="E59" s="24"/>
      <c r="F59" s="24"/>
      <c r="G59" s="24"/>
      <c r="H59" s="24"/>
      <c r="I59" s="24"/>
    </row>
    <row r="60" spans="1:11" ht="4.9000000000000004" customHeight="1" x14ac:dyDescent="0.25"/>
    <row r="61" spans="1:11" s="47" customFormat="1" ht="60" x14ac:dyDescent="0.25">
      <c r="A61" s="139"/>
      <c r="B61" s="139"/>
      <c r="C61" s="139"/>
      <c r="D61" s="45" t="s">
        <v>25</v>
      </c>
      <c r="E61" s="46" t="s">
        <v>26</v>
      </c>
      <c r="F61" s="45" t="s">
        <v>58</v>
      </c>
      <c r="G61" s="45" t="s">
        <v>59</v>
      </c>
      <c r="H61" s="45" t="s">
        <v>60</v>
      </c>
      <c r="I61" s="46" t="s">
        <v>61</v>
      </c>
      <c r="J61"/>
    </row>
    <row r="62" spans="1:11" ht="13.5" customHeight="1" x14ac:dyDescent="0.25">
      <c r="A62" s="17" t="s">
        <v>62</v>
      </c>
      <c r="B62" s="18"/>
      <c r="C62" s="19"/>
      <c r="D62" s="34">
        <v>7000</v>
      </c>
      <c r="E62" s="8" t="s">
        <v>63</v>
      </c>
      <c r="F62" s="12">
        <f>K13</f>
        <v>0.88900000000000001</v>
      </c>
      <c r="G62" s="13">
        <f>D62*F62</f>
        <v>6223</v>
      </c>
      <c r="H62" s="44">
        <f>$K$55</f>
        <v>0.35438487128960106</v>
      </c>
      <c r="I62" s="13">
        <f>-G62*H62</f>
        <v>-2205.3370540351875</v>
      </c>
    </row>
    <row r="63" spans="1:11" ht="13.5" customHeight="1" x14ac:dyDescent="0.25">
      <c r="A63" s="17" t="s">
        <v>64</v>
      </c>
      <c r="B63" s="18"/>
      <c r="C63" s="19"/>
      <c r="D63" s="26">
        <f>1/D55</f>
        <v>0.2857142857142857</v>
      </c>
      <c r="E63" s="8" t="s">
        <v>65</v>
      </c>
      <c r="F63" s="27">
        <f>D52</f>
        <v>3200</v>
      </c>
      <c r="G63" s="13">
        <f>D63*F63</f>
        <v>914.28571428571422</v>
      </c>
      <c r="H63" s="44">
        <v>0</v>
      </c>
      <c r="I63" s="13">
        <f t="shared" ref="I63:I66" si="0">-G63*H63</f>
        <v>0</v>
      </c>
    </row>
    <row r="64" spans="1:11" ht="13.5" customHeight="1" x14ac:dyDescent="0.25">
      <c r="A64" s="17" t="s">
        <v>66</v>
      </c>
      <c r="B64" s="18"/>
      <c r="C64" s="19"/>
      <c r="D64" s="35">
        <v>0.95</v>
      </c>
      <c r="E64" s="8" t="s">
        <v>67</v>
      </c>
      <c r="F64" s="27">
        <f>D54</f>
        <v>650</v>
      </c>
      <c r="G64" s="13">
        <f>D64*F64</f>
        <v>617.5</v>
      </c>
      <c r="H64" s="44">
        <v>0</v>
      </c>
      <c r="I64" s="13">
        <f t="shared" si="0"/>
        <v>0</v>
      </c>
    </row>
    <row r="65" spans="1:10" ht="13.5" customHeight="1" x14ac:dyDescent="0.25">
      <c r="A65" s="17" t="s">
        <v>68</v>
      </c>
      <c r="B65" s="18"/>
      <c r="C65" s="19"/>
      <c r="D65" s="26">
        <f>D63</f>
        <v>0.2857142857142857</v>
      </c>
      <c r="E65" s="8" t="s">
        <v>69</v>
      </c>
      <c r="F65" s="27">
        <f>D53</f>
        <v>3300</v>
      </c>
      <c r="G65" s="13">
        <f>-D65*F65</f>
        <v>-942.85714285714278</v>
      </c>
      <c r="H65" s="44">
        <v>0</v>
      </c>
      <c r="I65" s="13">
        <f t="shared" si="0"/>
        <v>0</v>
      </c>
    </row>
    <row r="66" spans="1:10" ht="13.5" customHeight="1" x14ac:dyDescent="0.25">
      <c r="A66" s="17" t="s">
        <v>31</v>
      </c>
      <c r="B66" s="18"/>
      <c r="C66" s="19"/>
      <c r="D66" s="14"/>
      <c r="E66" s="14"/>
      <c r="F66" s="14"/>
      <c r="G66" s="13">
        <f>SUM(G67:G71)</f>
        <v>-596.07999999999993</v>
      </c>
      <c r="H66" s="44">
        <f>$K$55</f>
        <v>0.35438487128960106</v>
      </c>
      <c r="I66" s="13">
        <f t="shared" si="0"/>
        <v>211.24173407830537</v>
      </c>
    </row>
    <row r="67" spans="1:10" s="7" customFormat="1" ht="13.5" customHeight="1" x14ac:dyDescent="0.25">
      <c r="A67" s="20" t="s">
        <v>70</v>
      </c>
      <c r="B67" s="21"/>
      <c r="C67" s="22"/>
      <c r="D67" s="36"/>
      <c r="E67" s="8" t="s">
        <v>63</v>
      </c>
      <c r="F67" s="37"/>
      <c r="G67" s="15">
        <f>-D67*F67</f>
        <v>0</v>
      </c>
      <c r="H67" s="14"/>
      <c r="I67" s="14"/>
      <c r="J67"/>
    </row>
    <row r="68" spans="1:10" s="7" customFormat="1" ht="13.5" customHeight="1" x14ac:dyDescent="0.25">
      <c r="A68" s="20" t="s">
        <v>71</v>
      </c>
      <c r="B68" s="21"/>
      <c r="C68" s="22"/>
      <c r="D68" s="36">
        <v>206</v>
      </c>
      <c r="E68" s="8" t="s">
        <v>63</v>
      </c>
      <c r="F68" s="37">
        <v>1.1399999999999999</v>
      </c>
      <c r="G68" s="15">
        <f>-D68*F68</f>
        <v>-234.83999999999997</v>
      </c>
      <c r="H68" s="14"/>
      <c r="I68" s="14"/>
      <c r="J68"/>
    </row>
    <row r="69" spans="1:10" s="7" customFormat="1" ht="13.5" customHeight="1" x14ac:dyDescent="0.25">
      <c r="A69" s="20" t="s">
        <v>72</v>
      </c>
      <c r="B69" s="21"/>
      <c r="C69" s="22"/>
      <c r="D69" s="36">
        <v>173</v>
      </c>
      <c r="E69" s="8" t="s">
        <v>63</v>
      </c>
      <c r="F69" s="99">
        <v>1.38</v>
      </c>
      <c r="G69" s="15">
        <f>-D69*F69</f>
        <v>-238.73999999999998</v>
      </c>
      <c r="H69" s="14"/>
      <c r="I69" s="14"/>
      <c r="J69"/>
    </row>
    <row r="70" spans="1:10" s="7" customFormat="1" ht="13.5" customHeight="1" x14ac:dyDescent="0.25">
      <c r="A70" s="20" t="s">
        <v>73</v>
      </c>
      <c r="B70" s="21"/>
      <c r="C70" s="22"/>
      <c r="D70" s="36">
        <v>45</v>
      </c>
      <c r="E70" s="8" t="s">
        <v>63</v>
      </c>
      <c r="F70" s="37">
        <v>2.5</v>
      </c>
      <c r="G70" s="15">
        <f>-D70*F70</f>
        <v>-112.5</v>
      </c>
      <c r="H70" s="14"/>
      <c r="I70" s="14"/>
      <c r="J70"/>
    </row>
    <row r="71" spans="1:10" s="7" customFormat="1" ht="13.5" customHeight="1" x14ac:dyDescent="0.25">
      <c r="A71" s="20" t="s">
        <v>74</v>
      </c>
      <c r="B71" s="21"/>
      <c r="C71" s="22"/>
      <c r="D71" s="36">
        <v>20</v>
      </c>
      <c r="E71" s="8" t="s">
        <v>63</v>
      </c>
      <c r="F71" s="37">
        <v>0.5</v>
      </c>
      <c r="G71" s="15">
        <f>-D71*F71</f>
        <v>-10</v>
      </c>
      <c r="H71" s="14"/>
      <c r="I71" s="14"/>
      <c r="J71"/>
    </row>
    <row r="72" spans="1:10" ht="13.5" customHeight="1" x14ac:dyDescent="0.25">
      <c r="A72" s="17" t="s">
        <v>75</v>
      </c>
      <c r="B72" s="18"/>
      <c r="C72" s="19"/>
      <c r="D72" s="14"/>
      <c r="E72" s="14"/>
      <c r="F72" s="14"/>
      <c r="G72" s="38">
        <v>-140</v>
      </c>
      <c r="H72" s="44">
        <f>$K$56</f>
        <v>0.43181818181818182</v>
      </c>
      <c r="I72" s="13">
        <f t="shared" ref="I72:I76" si="1">-G72*H72</f>
        <v>60.454545454545453</v>
      </c>
    </row>
    <row r="73" spans="1:10" ht="13.5" customHeight="1" x14ac:dyDescent="0.25">
      <c r="A73" s="17" t="s">
        <v>76</v>
      </c>
      <c r="B73" s="18"/>
      <c r="C73" s="19"/>
      <c r="D73" s="14"/>
      <c r="E73" s="14"/>
      <c r="F73" s="14"/>
      <c r="G73" s="38">
        <v>-128</v>
      </c>
      <c r="H73" s="44">
        <v>0</v>
      </c>
      <c r="I73" s="13">
        <f t="shared" si="1"/>
        <v>0</v>
      </c>
    </row>
    <row r="74" spans="1:10" ht="13.5" customHeight="1" x14ac:dyDescent="0.25">
      <c r="A74" s="17" t="s">
        <v>77</v>
      </c>
      <c r="B74" s="18"/>
      <c r="C74" s="19"/>
      <c r="D74" s="14"/>
      <c r="E74" s="14"/>
      <c r="F74" s="14"/>
      <c r="G74" s="38">
        <v>-133</v>
      </c>
      <c r="H74" s="44">
        <f>$K$56</f>
        <v>0.43181818181818182</v>
      </c>
      <c r="I74" s="13">
        <f t="shared" si="1"/>
        <v>57.43181818181818</v>
      </c>
    </row>
    <row r="75" spans="1:10" ht="13.5" customHeight="1" x14ac:dyDescent="0.25">
      <c r="A75" s="17" t="s">
        <v>78</v>
      </c>
      <c r="B75" s="18"/>
      <c r="C75" s="19"/>
      <c r="D75" s="14"/>
      <c r="E75" s="14"/>
      <c r="F75" s="14"/>
      <c r="G75" s="38">
        <v>-34</v>
      </c>
      <c r="H75" s="44">
        <f>$K$56</f>
        <v>0.43181818181818182</v>
      </c>
      <c r="I75" s="13">
        <f t="shared" si="1"/>
        <v>14.681818181818182</v>
      </c>
    </row>
    <row r="76" spans="1:10" ht="13.5" customHeight="1" x14ac:dyDescent="0.25">
      <c r="A76" s="17" t="s">
        <v>79</v>
      </c>
      <c r="B76" s="18"/>
      <c r="C76" s="19"/>
      <c r="D76" s="14"/>
      <c r="E76" s="14"/>
      <c r="F76" s="14"/>
      <c r="G76" s="13">
        <f>SUM(G77:G79)</f>
        <v>265</v>
      </c>
      <c r="H76" s="44">
        <f>$K$56</f>
        <v>0.43181818181818182</v>
      </c>
      <c r="I76" s="13">
        <f t="shared" si="1"/>
        <v>-114.43181818181819</v>
      </c>
    </row>
    <row r="77" spans="1:10" s="7" customFormat="1" ht="13.5" customHeight="1" x14ac:dyDescent="0.25">
      <c r="A77" s="20" t="s">
        <v>80</v>
      </c>
      <c r="B77" s="21"/>
      <c r="C77" s="22"/>
      <c r="D77" s="36">
        <v>1</v>
      </c>
      <c r="E77" s="16" t="s">
        <v>65</v>
      </c>
      <c r="F77" s="37">
        <v>190</v>
      </c>
      <c r="G77" s="15">
        <f>D77*F77</f>
        <v>190</v>
      </c>
      <c r="H77" s="14"/>
      <c r="I77" s="14"/>
      <c r="J77"/>
    </row>
    <row r="78" spans="1:10" s="7" customFormat="1" ht="13.5" customHeight="1" x14ac:dyDescent="0.25">
      <c r="A78" s="20" t="s">
        <v>81</v>
      </c>
      <c r="B78" s="21"/>
      <c r="C78" s="22"/>
      <c r="D78" s="36"/>
      <c r="E78" s="16" t="s">
        <v>65</v>
      </c>
      <c r="F78" s="37">
        <v>350</v>
      </c>
      <c r="G78" s="15">
        <f>D78*F78</f>
        <v>0</v>
      </c>
      <c r="H78" s="14"/>
      <c r="I78" s="14"/>
      <c r="J78"/>
    </row>
    <row r="79" spans="1:10" s="7" customFormat="1" ht="13.5" customHeight="1" x14ac:dyDescent="0.25">
      <c r="A79" s="20" t="s">
        <v>82</v>
      </c>
      <c r="B79" s="21"/>
      <c r="C79" s="22"/>
      <c r="D79" s="36">
        <v>1</v>
      </c>
      <c r="E79" s="16" t="s">
        <v>65</v>
      </c>
      <c r="F79" s="37">
        <v>75</v>
      </c>
      <c r="G79" s="15">
        <f>D79*F79</f>
        <v>75</v>
      </c>
      <c r="H79" s="14"/>
      <c r="I79" s="14"/>
      <c r="J79"/>
    </row>
    <row r="80" spans="1:10" ht="13.5" customHeight="1" x14ac:dyDescent="0.25">
      <c r="A80" s="17" t="s">
        <v>38</v>
      </c>
      <c r="B80" s="18"/>
      <c r="C80" s="19"/>
      <c r="D80" s="14"/>
      <c r="E80" s="14"/>
      <c r="F80" s="14"/>
      <c r="G80" s="13">
        <f>SUM(G81:G83)</f>
        <v>-1732.7242424242427</v>
      </c>
      <c r="H80" s="44">
        <f>$K$56</f>
        <v>0.43181818181818182</v>
      </c>
      <c r="I80" s="13">
        <f t="shared" ref="I80" si="2">-G80*H80</f>
        <v>748.22183195592299</v>
      </c>
    </row>
    <row r="81" spans="1:11" s="7" customFormat="1" ht="13.5" customHeight="1" x14ac:dyDescent="0.25">
      <c r="A81" s="20" t="str">
        <f>CONCATENATE("   ",A44)</f>
        <v xml:space="preserve">   Herbe au pâturage</v>
      </c>
      <c r="B81" s="21"/>
      <c r="C81" s="22"/>
      <c r="D81" s="39">
        <f>F44</f>
        <v>110.66666666666669</v>
      </c>
      <c r="E81" s="16" t="s">
        <v>83</v>
      </c>
      <c r="F81" s="37">
        <v>1.1000000000000001</v>
      </c>
      <c r="G81" s="15">
        <f>IFERROR(-D81*F81,"")</f>
        <v>-121.73333333333336</v>
      </c>
      <c r="H81" s="14"/>
      <c r="I81" s="14"/>
      <c r="J81"/>
    </row>
    <row r="82" spans="1:11" s="7" customFormat="1" ht="13.5" customHeight="1" x14ac:dyDescent="0.25">
      <c r="A82" s="20" t="str">
        <f>CONCATENATE("   ",A45)</f>
        <v xml:space="preserve">   Foin</v>
      </c>
      <c r="B82" s="21"/>
      <c r="C82" s="22"/>
      <c r="D82" s="39">
        <f>F45</f>
        <v>17.40909090909091</v>
      </c>
      <c r="E82" s="16" t="s">
        <v>83</v>
      </c>
      <c r="F82" s="37">
        <v>43</v>
      </c>
      <c r="G82" s="15">
        <f t="shared" ref="G82:G85" si="3">IFERROR(-D82*F82,"")</f>
        <v>-748.59090909090912</v>
      </c>
      <c r="H82" s="14"/>
      <c r="I82" s="14"/>
      <c r="J82"/>
    </row>
    <row r="83" spans="1:11" s="7" customFormat="1" ht="13.5" customHeight="1" x14ac:dyDescent="0.25">
      <c r="A83" s="20" t="str">
        <f>CONCATENATE("   ",A46)</f>
        <v xml:space="preserve">   Ensilage d'herbe</v>
      </c>
      <c r="B83" s="21"/>
      <c r="C83" s="22"/>
      <c r="D83" s="39">
        <f>F46</f>
        <v>77.000000000000014</v>
      </c>
      <c r="E83" s="16" t="s">
        <v>83</v>
      </c>
      <c r="F83" s="37">
        <v>11.2</v>
      </c>
      <c r="G83" s="15">
        <f t="shared" si="3"/>
        <v>-862.40000000000009</v>
      </c>
      <c r="H83" s="14"/>
      <c r="I83" s="14"/>
      <c r="J83"/>
    </row>
    <row r="84" spans="1:11" s="7" customFormat="1" ht="13.5" customHeight="1" x14ac:dyDescent="0.25">
      <c r="A84" s="20" t="str">
        <f>CONCATENATE("   ",A47)</f>
        <v xml:space="preserve">   Ensilage de maïs</v>
      </c>
      <c r="B84" s="21"/>
      <c r="C84" s="22"/>
      <c r="D84" s="39">
        <f>F47</f>
        <v>36.5</v>
      </c>
      <c r="E84" s="16" t="s">
        <v>83</v>
      </c>
      <c r="F84" s="37">
        <v>13.5</v>
      </c>
      <c r="G84" s="15">
        <f t="shared" si="3"/>
        <v>-492.75</v>
      </c>
      <c r="H84" s="14"/>
      <c r="I84" s="14"/>
      <c r="J84"/>
    </row>
    <row r="85" spans="1:11" s="7" customFormat="1" ht="13.5" customHeight="1" x14ac:dyDescent="0.25">
      <c r="A85" s="20" t="str">
        <f>CONCATENATE("   ",A48)</f>
        <v xml:space="preserve">   Autre fourrage de base</v>
      </c>
      <c r="B85" s="21"/>
      <c r="C85" s="22"/>
      <c r="D85" s="39" t="str">
        <f>F48</f>
        <v/>
      </c>
      <c r="E85" s="16" t="s">
        <v>83</v>
      </c>
      <c r="F85" s="37"/>
      <c r="G85" s="15" t="str">
        <f t="shared" si="3"/>
        <v/>
      </c>
      <c r="H85" s="14"/>
      <c r="I85" s="14"/>
      <c r="J85"/>
    </row>
    <row r="86" spans="1:11" ht="13.5" customHeight="1" x14ac:dyDescent="0.25">
      <c r="A86" s="17" t="s">
        <v>84</v>
      </c>
      <c r="B86" s="18"/>
      <c r="C86" s="19"/>
      <c r="D86" s="40">
        <f>2*365/100</f>
        <v>7.3</v>
      </c>
      <c r="E86" s="8" t="s">
        <v>83</v>
      </c>
      <c r="F86" s="41">
        <v>23</v>
      </c>
      <c r="G86" s="13">
        <f>-D86*F86</f>
        <v>-167.9</v>
      </c>
      <c r="H86" s="44">
        <f>$K$56</f>
        <v>0.43181818181818182</v>
      </c>
      <c r="I86" s="13">
        <f t="shared" ref="I86" si="4">-G86*H86</f>
        <v>72.502272727272725</v>
      </c>
    </row>
    <row r="87" spans="1:11" ht="13.5" customHeight="1" x14ac:dyDescent="0.25">
      <c r="A87" s="1" t="s">
        <v>47</v>
      </c>
      <c r="B87" s="1"/>
      <c r="C87" s="1"/>
      <c r="D87" s="1"/>
      <c r="E87" s="1"/>
      <c r="F87" s="1"/>
      <c r="G87" s="11">
        <f>SUM(G62:G66,G72:G76,G80,G86)</f>
        <v>4145.224329004328</v>
      </c>
      <c r="I87" s="11">
        <f>SUM(I62:I86)</f>
        <v>-1155.2348516373227</v>
      </c>
      <c r="J87" s="11"/>
    </row>
    <row r="88" spans="1:11" ht="4.9000000000000004" customHeight="1" x14ac:dyDescent="0.25"/>
    <row r="89" spans="1:11" ht="15.75" thickBot="1" x14ac:dyDescent="0.3">
      <c r="A89" s="104" t="s">
        <v>21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</row>
    <row r="90" spans="1:11" ht="13.5" customHeight="1" thickBot="1" x14ac:dyDescent="0.3">
      <c r="A90" t="s">
        <v>22</v>
      </c>
      <c r="D90" s="2"/>
      <c r="E90" s="79">
        <f>I57*K55*D62</f>
        <v>2480.6940990272074</v>
      </c>
    </row>
    <row r="91" spans="1:11" ht="4.9000000000000004" customHeight="1" x14ac:dyDescent="0.25"/>
    <row r="92" spans="1:11" x14ac:dyDescent="0.25">
      <c r="A92" s="104" t="s">
        <v>85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</row>
    <row r="93" spans="1:11" ht="4.9000000000000004" customHeight="1" x14ac:dyDescent="0.25"/>
    <row r="94" spans="1:11" ht="30" customHeight="1" x14ac:dyDescent="0.25">
      <c r="A94" s="109" t="s">
        <v>24</v>
      </c>
      <c r="B94" s="110"/>
      <c r="C94" s="88" t="s">
        <v>25</v>
      </c>
      <c r="D94" s="88" t="s">
        <v>26</v>
      </c>
      <c r="E94" s="88" t="s">
        <v>27</v>
      </c>
      <c r="F94" s="88" t="s">
        <v>28</v>
      </c>
      <c r="G94" s="124" t="s">
        <v>29</v>
      </c>
      <c r="H94" s="124"/>
      <c r="I94" s="120" t="s">
        <v>30</v>
      </c>
      <c r="J94" s="121"/>
    </row>
    <row r="95" spans="1:11" ht="13.5" customHeight="1" x14ac:dyDescent="0.25">
      <c r="A95" s="107" t="s">
        <v>86</v>
      </c>
      <c r="B95" s="108"/>
      <c r="C95" s="89">
        <f>-I57</f>
        <v>-1</v>
      </c>
      <c r="D95" s="86" t="s">
        <v>87</v>
      </c>
      <c r="E95" s="13">
        <f>I87</f>
        <v>-1155.2348516373227</v>
      </c>
      <c r="F95" s="4">
        <f>-C95*E95</f>
        <v>-1155.2348516373227</v>
      </c>
      <c r="G95" s="122">
        <f>F95/$G$10</f>
        <v>-9.3677256623584497E-3</v>
      </c>
      <c r="H95" s="122"/>
      <c r="I95" s="122">
        <f>IFERROR(F95/E90,0)</f>
        <v>-0.46569016796159696</v>
      </c>
      <c r="J95" s="122"/>
    </row>
    <row r="96" spans="1:11" ht="4.9000000000000004" customHeight="1" thickBot="1" x14ac:dyDescent="0.3">
      <c r="F96" s="5"/>
      <c r="G96" s="90"/>
      <c r="H96" s="80"/>
      <c r="I96" s="5"/>
    </row>
    <row r="97" spans="1:11" ht="13.5" customHeight="1" thickTop="1" thickBot="1" x14ac:dyDescent="0.3">
      <c r="A97" s="1" t="s">
        <v>35</v>
      </c>
      <c r="B97" s="1"/>
      <c r="F97" s="6">
        <f>SUM(F95:F95)</f>
        <v>-1155.2348516373227</v>
      </c>
      <c r="G97" s="111">
        <f>SUM(G95:G95)</f>
        <v>-9.3677256623584497E-3</v>
      </c>
      <c r="H97" s="112"/>
      <c r="I97" s="111">
        <f>SUM(I94:I95)</f>
        <v>-0.46569016796159696</v>
      </c>
      <c r="J97" s="112"/>
    </row>
    <row r="98" spans="1:11" ht="4.9000000000000004" customHeight="1" thickTop="1" x14ac:dyDescent="0.25"/>
    <row r="99" spans="1:11" ht="4.9000000000000004" customHeight="1" x14ac:dyDescent="0.25"/>
    <row r="100" spans="1:11" x14ac:dyDescent="0.25">
      <c r="A100" s="105" t="s">
        <v>88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</row>
    <row r="101" spans="1:11" ht="4.9000000000000004" customHeight="1" x14ac:dyDescent="0.25"/>
    <row r="102" spans="1:11" x14ac:dyDescent="0.25">
      <c r="A102" s="104" t="s">
        <v>12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</row>
    <row r="103" spans="1:11" ht="4.9000000000000004" customHeight="1" x14ac:dyDescent="0.25"/>
    <row r="104" spans="1:11" x14ac:dyDescent="0.25">
      <c r="A104" s="23" t="s">
        <v>89</v>
      </c>
      <c r="B104" s="24"/>
      <c r="C104" s="24"/>
      <c r="D104" s="24"/>
      <c r="E104" s="24"/>
      <c r="F104" s="24"/>
      <c r="G104" s="24"/>
      <c r="H104" s="24"/>
      <c r="I104" s="24"/>
    </row>
    <row r="105" spans="1:11" ht="13.5" customHeight="1" x14ac:dyDescent="0.25">
      <c r="A105" t="s">
        <v>90</v>
      </c>
      <c r="D105" s="31">
        <v>126</v>
      </c>
    </row>
    <row r="106" spans="1:11" ht="13.5" customHeight="1" x14ac:dyDescent="0.25">
      <c r="A106" t="s">
        <v>91</v>
      </c>
      <c r="D106" s="33">
        <v>16.3</v>
      </c>
    </row>
    <row r="107" spans="1:11" ht="13.5" customHeight="1" x14ac:dyDescent="0.25">
      <c r="A107" t="s">
        <v>92</v>
      </c>
      <c r="D107" s="31">
        <v>74</v>
      </c>
    </row>
    <row r="108" spans="1:11" ht="13.5" customHeight="1" x14ac:dyDescent="0.25">
      <c r="A108" t="s">
        <v>93</v>
      </c>
      <c r="D108" s="33">
        <v>8.5</v>
      </c>
    </row>
    <row r="109" spans="1:11" ht="13.5" customHeight="1" x14ac:dyDescent="0.25">
      <c r="A109" t="s">
        <v>94</v>
      </c>
      <c r="D109" s="42">
        <v>3.5000000000000003E-2</v>
      </c>
    </row>
    <row r="110" spans="1:11" ht="4.9000000000000004" customHeight="1" x14ac:dyDescent="0.25">
      <c r="A110" s="23"/>
      <c r="B110" s="24"/>
      <c r="C110" s="24"/>
      <c r="D110" s="24"/>
      <c r="E110" s="24"/>
      <c r="F110" s="24"/>
      <c r="G110" s="24"/>
      <c r="H110" s="24"/>
      <c r="I110" s="24"/>
    </row>
    <row r="111" spans="1:11" x14ac:dyDescent="0.25">
      <c r="A111" s="23" t="s">
        <v>95</v>
      </c>
      <c r="B111" s="24"/>
      <c r="C111" s="24"/>
      <c r="D111" s="24"/>
      <c r="E111" s="24"/>
      <c r="F111" s="24"/>
      <c r="G111" s="24"/>
      <c r="H111" s="24"/>
      <c r="I111" s="24"/>
    </row>
    <row r="112" spans="1:11" ht="4.9000000000000004" customHeight="1" x14ac:dyDescent="0.25"/>
    <row r="113" spans="1:11" ht="13.5" customHeight="1" x14ac:dyDescent="0.25">
      <c r="A113" s="119"/>
      <c r="B113" s="119"/>
      <c r="C113" s="119"/>
      <c r="D113" s="10" t="s">
        <v>25</v>
      </c>
      <c r="E113" s="9" t="s">
        <v>26</v>
      </c>
      <c r="F113" s="10" t="s">
        <v>58</v>
      </c>
      <c r="G113" s="135" t="s">
        <v>96</v>
      </c>
      <c r="H113" s="136"/>
    </row>
    <row r="114" spans="1:11" ht="13.5" customHeight="1" x14ac:dyDescent="0.25">
      <c r="A114" s="17" t="s">
        <v>97</v>
      </c>
      <c r="B114" s="18"/>
      <c r="C114" s="19"/>
      <c r="D114" s="25">
        <f>D105*(1-D109)</f>
        <v>121.58999999999999</v>
      </c>
      <c r="E114" s="8" t="s">
        <v>98</v>
      </c>
      <c r="F114" s="12">
        <f>D106</f>
        <v>16.3</v>
      </c>
      <c r="G114" s="113">
        <f>D114*F114</f>
        <v>1981.9169999999999</v>
      </c>
      <c r="H114" s="114"/>
    </row>
    <row r="115" spans="1:11" ht="13.5" customHeight="1" x14ac:dyDescent="0.25">
      <c r="A115" s="17" t="s">
        <v>99</v>
      </c>
      <c r="B115" s="18"/>
      <c r="C115" s="19"/>
      <c r="D115" s="26">
        <f>D107</f>
        <v>74</v>
      </c>
      <c r="E115" s="8" t="s">
        <v>100</v>
      </c>
      <c r="F115" s="12">
        <f>D108</f>
        <v>8.5</v>
      </c>
      <c r="G115" s="113">
        <f>-D115*F115</f>
        <v>-629</v>
      </c>
      <c r="H115" s="114"/>
    </row>
    <row r="116" spans="1:11" ht="13.5" customHeight="1" x14ac:dyDescent="0.25">
      <c r="A116" s="17" t="s">
        <v>101</v>
      </c>
      <c r="B116" s="18"/>
      <c r="C116" s="19"/>
      <c r="D116" s="14"/>
      <c r="E116" s="14"/>
      <c r="F116" s="14"/>
      <c r="G116" s="113">
        <f>SUM(G117:G120)</f>
        <v>-1547.15</v>
      </c>
      <c r="H116" s="114"/>
    </row>
    <row r="117" spans="1:11" s="7" customFormat="1" ht="13.5" customHeight="1" x14ac:dyDescent="0.25">
      <c r="A117" s="20" t="s">
        <v>102</v>
      </c>
      <c r="B117" s="21"/>
      <c r="C117" s="22"/>
      <c r="D117" s="36">
        <v>1350</v>
      </c>
      <c r="E117" s="8" t="s">
        <v>63</v>
      </c>
      <c r="F117" s="29">
        <f>K7</f>
        <v>0.88900000000000001</v>
      </c>
      <c r="G117" s="113">
        <f>-D117*F117</f>
        <v>-1200.1500000000001</v>
      </c>
      <c r="H117" s="114"/>
    </row>
    <row r="118" spans="1:11" s="7" customFormat="1" ht="13.5" customHeight="1" x14ac:dyDescent="0.25">
      <c r="A118" s="20" t="s">
        <v>103</v>
      </c>
      <c r="B118" s="21"/>
      <c r="C118" s="22"/>
      <c r="D118" s="36">
        <v>110</v>
      </c>
      <c r="E118" s="8" t="s">
        <v>63</v>
      </c>
      <c r="F118" s="37">
        <v>3.1</v>
      </c>
      <c r="G118" s="113">
        <f>-D118*F118</f>
        <v>-341</v>
      </c>
      <c r="H118" s="114"/>
    </row>
    <row r="119" spans="1:11" s="7" customFormat="1" ht="13.5" customHeight="1" x14ac:dyDescent="0.25">
      <c r="A119" s="20" t="s">
        <v>73</v>
      </c>
      <c r="B119" s="21"/>
      <c r="C119" s="22"/>
      <c r="D119" s="36">
        <v>2</v>
      </c>
      <c r="E119" s="8" t="s">
        <v>63</v>
      </c>
      <c r="F119" s="37">
        <v>2.5</v>
      </c>
      <c r="G119" s="113">
        <f>-D119*F119</f>
        <v>-5</v>
      </c>
      <c r="H119" s="114"/>
    </row>
    <row r="120" spans="1:11" s="7" customFormat="1" ht="13.5" customHeight="1" x14ac:dyDescent="0.25">
      <c r="A120" s="20" t="s">
        <v>74</v>
      </c>
      <c r="B120" s="21"/>
      <c r="C120" s="22"/>
      <c r="D120" s="36">
        <v>2</v>
      </c>
      <c r="E120" s="8" t="s">
        <v>63</v>
      </c>
      <c r="F120" s="37">
        <v>0.5</v>
      </c>
      <c r="G120" s="113">
        <f>-D120*F120</f>
        <v>-1</v>
      </c>
      <c r="H120" s="114"/>
    </row>
    <row r="121" spans="1:11" ht="13.5" customHeight="1" x14ac:dyDescent="0.25">
      <c r="A121" s="17" t="s">
        <v>75</v>
      </c>
      <c r="B121" s="18"/>
      <c r="C121" s="19"/>
      <c r="D121" s="14"/>
      <c r="E121" s="14"/>
      <c r="F121" s="14"/>
      <c r="G121" s="125">
        <v>-60</v>
      </c>
      <c r="H121" s="126"/>
    </row>
    <row r="122" spans="1:11" ht="13.5" customHeight="1" x14ac:dyDescent="0.25">
      <c r="A122" s="17" t="s">
        <v>77</v>
      </c>
      <c r="B122" s="18"/>
      <c r="C122" s="19"/>
      <c r="D122" s="14"/>
      <c r="E122" s="14"/>
      <c r="F122" s="14"/>
      <c r="G122" s="125">
        <v>-49</v>
      </c>
      <c r="H122" s="126"/>
    </row>
    <row r="123" spans="1:11" ht="13.5" customHeight="1" x14ac:dyDescent="0.25">
      <c r="A123" s="17" t="s">
        <v>78</v>
      </c>
      <c r="B123" s="18"/>
      <c r="C123" s="19"/>
      <c r="D123" s="14"/>
      <c r="E123" s="14"/>
      <c r="F123" s="14"/>
      <c r="G123" s="125"/>
      <c r="H123" s="126"/>
    </row>
    <row r="124" spans="1:11" ht="13.5" customHeight="1" x14ac:dyDescent="0.25">
      <c r="A124" s="17" t="s">
        <v>43</v>
      </c>
      <c r="B124" s="18"/>
      <c r="C124" s="19"/>
      <c r="D124" s="40">
        <f>0.4/0.88</f>
        <v>0.45454545454545459</v>
      </c>
      <c r="E124" s="8" t="s">
        <v>83</v>
      </c>
      <c r="F124" s="41">
        <v>43</v>
      </c>
      <c r="G124" s="113">
        <f>-D124*F124</f>
        <v>-19.545454545454547</v>
      </c>
      <c r="H124" s="114"/>
    </row>
    <row r="125" spans="1:11" ht="13.5" customHeight="1" x14ac:dyDescent="0.25">
      <c r="A125" s="17" t="s">
        <v>84</v>
      </c>
      <c r="B125" s="18"/>
      <c r="C125" s="19"/>
      <c r="D125" s="40">
        <v>2</v>
      </c>
      <c r="E125" s="8" t="s">
        <v>83</v>
      </c>
      <c r="F125" s="41">
        <v>23</v>
      </c>
      <c r="G125" s="113">
        <f>-D125*F125</f>
        <v>-46</v>
      </c>
      <c r="H125" s="114"/>
    </row>
    <row r="126" spans="1:11" x14ac:dyDescent="0.25">
      <c r="A126" s="1" t="s">
        <v>47</v>
      </c>
      <c r="B126" s="1"/>
      <c r="C126" s="1"/>
      <c r="D126" s="1"/>
      <c r="E126" s="1"/>
      <c r="F126" s="1"/>
      <c r="G126" s="123">
        <f>SUM(G114:G116,G121:G123,G124,G125)</f>
        <v>-368.77845454545474</v>
      </c>
      <c r="H126" s="123"/>
    </row>
    <row r="127" spans="1:11" ht="4.9000000000000004" customHeight="1" x14ac:dyDescent="0.25"/>
    <row r="128" spans="1:11" x14ac:dyDescent="0.25">
      <c r="A128" s="104" t="s">
        <v>21</v>
      </c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</row>
    <row r="129" spans="1:11" ht="13.5" customHeight="1" thickBot="1" x14ac:dyDescent="0.3">
      <c r="A129" t="s">
        <v>104</v>
      </c>
      <c r="E129" s="84">
        <v>2</v>
      </c>
      <c r="F129" s="85" t="s">
        <v>16</v>
      </c>
    </row>
    <row r="130" spans="1:11" ht="13.5" customHeight="1" thickBot="1" x14ac:dyDescent="0.3">
      <c r="A130" t="s">
        <v>22</v>
      </c>
      <c r="D130" s="2"/>
      <c r="E130" s="79">
        <f>E129*D117</f>
        <v>2700</v>
      </c>
    </row>
    <row r="131" spans="1:11" ht="4.9000000000000004" customHeight="1" x14ac:dyDescent="0.25"/>
    <row r="132" spans="1:11" x14ac:dyDescent="0.25">
      <c r="A132" s="104" t="s">
        <v>85</v>
      </c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</row>
    <row r="133" spans="1:11" ht="4.9000000000000004" customHeight="1" x14ac:dyDescent="0.25"/>
    <row r="134" spans="1:11" ht="30" customHeight="1" x14ac:dyDescent="0.25">
      <c r="A134" s="109" t="s">
        <v>24</v>
      </c>
      <c r="B134" s="110"/>
      <c r="C134" s="88" t="s">
        <v>25</v>
      </c>
      <c r="D134" s="88" t="s">
        <v>26</v>
      </c>
      <c r="E134" s="88" t="s">
        <v>27</v>
      </c>
      <c r="F134" s="88" t="s">
        <v>28</v>
      </c>
      <c r="G134" s="124" t="s">
        <v>29</v>
      </c>
      <c r="H134" s="124"/>
      <c r="I134" s="120" t="s">
        <v>30</v>
      </c>
      <c r="J134" s="121"/>
    </row>
    <row r="135" spans="1:11" ht="13.5" customHeight="1" x14ac:dyDescent="0.25">
      <c r="A135" s="107" t="s">
        <v>105</v>
      </c>
      <c r="B135" s="108"/>
      <c r="C135" s="89">
        <f>E129</f>
        <v>2</v>
      </c>
      <c r="D135" s="86" t="s">
        <v>106</v>
      </c>
      <c r="E135" s="13">
        <f>G126</f>
        <v>-368.77845454545474</v>
      </c>
      <c r="F135" s="4">
        <f>C135*E135</f>
        <v>-737.55690909090947</v>
      </c>
      <c r="G135" s="122">
        <f>F135/$G$10</f>
        <v>-5.9808018905837101E-3</v>
      </c>
      <c r="H135" s="122"/>
      <c r="I135" s="122">
        <f>IFERROR(F135/E130,0)</f>
        <v>-0.27316922558922574</v>
      </c>
      <c r="J135" s="122"/>
    </row>
    <row r="136" spans="1:11" ht="4.9000000000000004" customHeight="1" thickBot="1" x14ac:dyDescent="0.3">
      <c r="F136" s="5"/>
      <c r="G136" s="90"/>
      <c r="H136" s="80"/>
      <c r="I136" s="5"/>
    </row>
    <row r="137" spans="1:11" ht="13.5" customHeight="1" thickTop="1" thickBot="1" x14ac:dyDescent="0.3">
      <c r="A137" s="1" t="s">
        <v>35</v>
      </c>
      <c r="B137" s="1"/>
      <c r="F137" s="6">
        <f>SUM(F135:F135)</f>
        <v>-737.55690909090947</v>
      </c>
      <c r="G137" s="111">
        <f>SUM(G135:G135)</f>
        <v>-5.9808018905837101E-3</v>
      </c>
      <c r="H137" s="112"/>
      <c r="I137" s="111">
        <f>SUM(I134:I135)</f>
        <v>-0.27316922558922574</v>
      </c>
      <c r="J137" s="112"/>
    </row>
    <row r="138" spans="1:11" ht="4.9000000000000004" customHeight="1" thickTop="1" x14ac:dyDescent="0.25"/>
    <row r="139" spans="1:11" x14ac:dyDescent="0.25">
      <c r="A139" s="105" t="s">
        <v>107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</row>
    <row r="140" spans="1:11" ht="4.9000000000000004" customHeight="1" x14ac:dyDescent="0.25"/>
    <row r="141" spans="1:11" ht="30" customHeight="1" x14ac:dyDescent="0.25">
      <c r="A141" s="109" t="s">
        <v>24</v>
      </c>
      <c r="B141" s="110"/>
      <c r="C141" s="88" t="s">
        <v>25</v>
      </c>
      <c r="D141" s="88" t="s">
        <v>26</v>
      </c>
      <c r="E141" s="88" t="s">
        <v>27</v>
      </c>
      <c r="F141" s="88" t="s">
        <v>28</v>
      </c>
      <c r="G141" s="124" t="s">
        <v>29</v>
      </c>
      <c r="H141" s="124"/>
    </row>
    <row r="142" spans="1:11" ht="13.5" customHeight="1" x14ac:dyDescent="0.25">
      <c r="A142" s="107" t="s">
        <v>108</v>
      </c>
      <c r="B142" s="108"/>
      <c r="C142" s="13">
        <f>G10</f>
        <v>123320.7390219919</v>
      </c>
      <c r="D142" s="86" t="s">
        <v>34</v>
      </c>
      <c r="E142" s="87">
        <f>K12</f>
        <v>0</v>
      </c>
      <c r="F142" s="4">
        <f>C142*E142</f>
        <v>0</v>
      </c>
      <c r="G142" s="122">
        <f>F142/$G$10</f>
        <v>0</v>
      </c>
      <c r="H142" s="122"/>
    </row>
    <row r="143" spans="1:11" x14ac:dyDescent="0.25"/>
    <row r="144" spans="1:11" x14ac:dyDescent="0.25">
      <c r="A144" s="105" t="s">
        <v>109</v>
      </c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</row>
    <row r="145" spans="1:11" ht="4.5" customHeight="1" x14ac:dyDescent="0.25">
      <c r="I145" s="78">
        <f>F34</f>
        <v>0</v>
      </c>
    </row>
    <row r="146" spans="1:11" s="98" customFormat="1" ht="30" customHeight="1" x14ac:dyDescent="0.25">
      <c r="A146" s="95" t="s">
        <v>110</v>
      </c>
      <c r="B146" s="96"/>
      <c r="C146" s="96"/>
      <c r="D146" s="96"/>
      <c r="E146" s="96"/>
      <c r="F146" s="96"/>
      <c r="G146" s="97" t="s">
        <v>28</v>
      </c>
      <c r="H146" s="120" t="s">
        <v>111</v>
      </c>
      <c r="I146" s="121"/>
      <c r="J146" s="120" t="s">
        <v>30</v>
      </c>
      <c r="K146" s="121"/>
    </row>
    <row r="147" spans="1:11" s="94" customFormat="1" ht="30" customHeight="1" x14ac:dyDescent="0.25">
      <c r="A147" s="137" t="s">
        <v>112</v>
      </c>
      <c r="B147" s="138"/>
      <c r="C147" s="138"/>
      <c r="D147" s="138"/>
      <c r="E147" s="138"/>
      <c r="F147" s="138"/>
      <c r="G147" s="93">
        <f>F35</f>
        <v>-1212.8259554140118</v>
      </c>
      <c r="H147" s="133">
        <f>G147/$G$10</f>
        <v>-9.834728246298682E-3</v>
      </c>
      <c r="I147" s="134"/>
      <c r="J147" s="133">
        <f>I35</f>
        <v>-0.26960273972602722</v>
      </c>
      <c r="K147" s="134"/>
    </row>
    <row r="148" spans="1:11" x14ac:dyDescent="0.25">
      <c r="A148" s="17" t="s">
        <v>113</v>
      </c>
      <c r="B148" s="18"/>
      <c r="C148" s="18"/>
      <c r="D148" s="18"/>
      <c r="E148" s="18"/>
      <c r="F148" s="18"/>
      <c r="G148" s="13">
        <f>F97</f>
        <v>-1155.2348516373227</v>
      </c>
      <c r="H148" s="133">
        <f t="shared" ref="H148:H151" si="5">G148/$G$10</f>
        <v>-9.3677256623584497E-3</v>
      </c>
      <c r="I148" s="134"/>
      <c r="J148" s="133">
        <f>I97</f>
        <v>-0.46569016796159696</v>
      </c>
      <c r="K148" s="134"/>
    </row>
    <row r="149" spans="1:11" x14ac:dyDescent="0.25">
      <c r="A149" s="17" t="s">
        <v>114</v>
      </c>
      <c r="B149" s="18"/>
      <c r="C149" s="18"/>
      <c r="D149" s="18"/>
      <c r="E149" s="18"/>
      <c r="F149" s="18"/>
      <c r="G149" s="13">
        <f>F137</f>
        <v>-737.55690909090947</v>
      </c>
      <c r="H149" s="133">
        <f t="shared" si="5"/>
        <v>-5.9808018905837101E-3</v>
      </c>
      <c r="I149" s="134"/>
      <c r="J149" s="133">
        <f>I137</f>
        <v>-0.27316922558922574</v>
      </c>
      <c r="K149" s="134"/>
    </row>
    <row r="150" spans="1:11" ht="15.75" thickBot="1" x14ac:dyDescent="0.3">
      <c r="A150" s="17" t="s">
        <v>115</v>
      </c>
      <c r="B150" s="18"/>
      <c r="C150" s="18"/>
      <c r="D150" s="18"/>
      <c r="E150" s="18"/>
      <c r="F150" s="18"/>
      <c r="G150" s="92">
        <f>F142</f>
        <v>0</v>
      </c>
      <c r="H150" s="133">
        <f t="shared" si="5"/>
        <v>0</v>
      </c>
      <c r="I150" s="134"/>
      <c r="J150" s="140"/>
      <c r="K150" s="140"/>
    </row>
    <row r="151" spans="1:11" ht="16.5" thickTop="1" thickBot="1" x14ac:dyDescent="0.3">
      <c r="A151" s="1" t="s">
        <v>116</v>
      </c>
      <c r="B151" s="1"/>
      <c r="C151" s="1"/>
      <c r="D151" s="1"/>
      <c r="E151" s="1"/>
      <c r="F151" s="1"/>
      <c r="G151" s="81">
        <f>SUM(G147:G150)</f>
        <v>-3105.6177161422438</v>
      </c>
      <c r="H151" s="111">
        <f t="shared" si="5"/>
        <v>-2.5183255799240842E-2</v>
      </c>
      <c r="I151" s="112"/>
      <c r="J151" s="141"/>
      <c r="K151" s="141"/>
    </row>
    <row r="152" spans="1:11" ht="6" customHeight="1" thickTop="1" x14ac:dyDescent="0.25"/>
  </sheetData>
  <sheetProtection sheet="1" objects="1" scenarios="1"/>
  <mergeCells count="94">
    <mergeCell ref="H150:I150"/>
    <mergeCell ref="H151:I151"/>
    <mergeCell ref="J146:K146"/>
    <mergeCell ref="I134:J134"/>
    <mergeCell ref="I135:J135"/>
    <mergeCell ref="I137:J137"/>
    <mergeCell ref="G137:H137"/>
    <mergeCell ref="J148:K148"/>
    <mergeCell ref="J149:K149"/>
    <mergeCell ref="J150:K150"/>
    <mergeCell ref="J151:K151"/>
    <mergeCell ref="H146:I146"/>
    <mergeCell ref="H147:I147"/>
    <mergeCell ref="A144:K144"/>
    <mergeCell ref="A141:B141"/>
    <mergeCell ref="G141:H141"/>
    <mergeCell ref="C45:D45"/>
    <mergeCell ref="C47:D47"/>
    <mergeCell ref="H148:I148"/>
    <mergeCell ref="H149:I149"/>
    <mergeCell ref="G123:H123"/>
    <mergeCell ref="G113:H113"/>
    <mergeCell ref="A147:F147"/>
    <mergeCell ref="A134:B134"/>
    <mergeCell ref="G134:H134"/>
    <mergeCell ref="A128:K128"/>
    <mergeCell ref="A132:K132"/>
    <mergeCell ref="A61:C61"/>
    <mergeCell ref="A89:K89"/>
    <mergeCell ref="A92:K92"/>
    <mergeCell ref="A100:K100"/>
    <mergeCell ref="A102:K102"/>
    <mergeCell ref="J147:K147"/>
    <mergeCell ref="A135:B135"/>
    <mergeCell ref="G135:H135"/>
    <mergeCell ref="A139:K139"/>
    <mergeCell ref="G142:H142"/>
    <mergeCell ref="A142:B142"/>
    <mergeCell ref="A1:B1"/>
    <mergeCell ref="C1:K1"/>
    <mergeCell ref="I31:J31"/>
    <mergeCell ref="I32:J32"/>
    <mergeCell ref="I33:J33"/>
    <mergeCell ref="G31:H31"/>
    <mergeCell ref="G32:H32"/>
    <mergeCell ref="G33:H33"/>
    <mergeCell ref="A3:K3"/>
    <mergeCell ref="D5:E5"/>
    <mergeCell ref="A15:K15"/>
    <mergeCell ref="A17:K17"/>
    <mergeCell ref="G126:H126"/>
    <mergeCell ref="A94:B94"/>
    <mergeCell ref="G94:H94"/>
    <mergeCell ref="A95:B95"/>
    <mergeCell ref="G95:H95"/>
    <mergeCell ref="G97:H97"/>
    <mergeCell ref="G120:H120"/>
    <mergeCell ref="G124:H124"/>
    <mergeCell ref="G125:H125"/>
    <mergeCell ref="G121:H121"/>
    <mergeCell ref="G122:H122"/>
    <mergeCell ref="G116:H116"/>
    <mergeCell ref="G117:H117"/>
    <mergeCell ref="G118:H118"/>
    <mergeCell ref="G119:H119"/>
    <mergeCell ref="I94:J94"/>
    <mergeCell ref="I95:J95"/>
    <mergeCell ref="I97:J97"/>
    <mergeCell ref="G114:H114"/>
    <mergeCell ref="I35:J35"/>
    <mergeCell ref="G115:H115"/>
    <mergeCell ref="F47:G47"/>
    <mergeCell ref="A48:B48"/>
    <mergeCell ref="C48:D48"/>
    <mergeCell ref="F48:G48"/>
    <mergeCell ref="C49:D49"/>
    <mergeCell ref="F49:G49"/>
    <mergeCell ref="A113:C113"/>
    <mergeCell ref="F45:G45"/>
    <mergeCell ref="C46:D46"/>
    <mergeCell ref="F46:G46"/>
    <mergeCell ref="A26:K26"/>
    <mergeCell ref="A29:K29"/>
    <mergeCell ref="A37:K37"/>
    <mergeCell ref="A39:K39"/>
    <mergeCell ref="C43:D43"/>
    <mergeCell ref="F43:G43"/>
    <mergeCell ref="A32:B32"/>
    <mergeCell ref="A33:B33"/>
    <mergeCell ref="A31:B31"/>
    <mergeCell ref="G35:H35"/>
    <mergeCell ref="C44:D44"/>
    <mergeCell ref="F44:G44"/>
    <mergeCell ref="A45:B45"/>
  </mergeCells>
  <conditionalFormatting sqref="A6:E6">
    <cfRule type="expression" dxfId="15" priority="1">
      <formula>$D$5="Modèle de planification"</formula>
    </cfRule>
  </conditionalFormatting>
  <conditionalFormatting sqref="E6">
    <cfRule type="expression" dxfId="14" priority="2">
      <formula>$D$5="Modèle de planification"</formula>
    </cfRule>
  </conditionalFormatting>
  <dataValidations count="7">
    <dataValidation allowBlank="1" showInputMessage="1" showErrorMessage="1" prompt="Si option non retenue, mettre 0" sqref="F20 I57 E129" xr:uid="{69FD7380-85BD-431A-9CF9-E532A6EAF5DB}"/>
    <dataValidation type="list" allowBlank="1" showInputMessage="1" showErrorMessage="1" sqref="D5:E5" xr:uid="{D5F0E946-9387-48E7-8E62-22E145905189}">
      <formula1>"Modèle de base,Modèle de planification"</formula1>
    </dataValidation>
    <dataValidation type="whole" allowBlank="1" showInputMessage="1" showErrorMessage="1" prompt="Saisir ici le nombre de semaine de lactation moyen (entre 3 et 44) des vaches qui seront réformées prématurément pour diminuer le troupeau de vaches laitières" sqref="D56" xr:uid="{3917335A-89ED-4E59-89CC-E6FA0C6D0A3D}">
      <formula1>3</formula1>
      <formula2>44</formula2>
    </dataValidation>
    <dataValidation allowBlank="1" showInputMessage="1" showErrorMessage="1" prompt="Saisir ici le nombre de semaine de lactation moyen des vaches qui seront réformées prématurément pour diminuer le troupeau de vaches laitières" sqref="D57" xr:uid="{ADE85C94-E518-4DBC-B678-3D3538338E50}"/>
    <dataValidation type="whole" allowBlank="1" showInputMessage="1" showErrorMessage="1" prompt="C'est une charge. Saisir une valeur négative." sqref="G80" xr:uid="{2F57563D-B51A-48E3-BB3A-DA213B87155F}">
      <formula1>-2000</formula1>
      <formula2>0</formula2>
    </dataValidation>
    <dataValidation allowBlank="1" showInputMessage="1" showErrorMessage="1" prompt="Base de calcul : valeur d'une coupe d'herbe de 15 dt = Fr. 110.- à 15% de M.S." sqref="F81" xr:uid="{4FAF0971-501B-4B17-AA12-6BCE17863DFE}"/>
    <dataValidation type="whole" allowBlank="1" showInputMessage="1" showErrorMessage="1" prompt="C'est une charge. Saisir une valeur négative." sqref="G72:G76 G121:G123" xr:uid="{58E03462-EC37-47AB-8FD9-F36D1DB5FCB1}">
      <formula1>-1000</formula1>
      <formula2>0</formula2>
    </dataValidation>
  </dataValidations>
  <pageMargins left="0.23622047244094491" right="0.23622047244094491" top="0.27559055118110237" bottom="0.27559055118110237" header="0.19685039370078741" footer="7.874015748031496E-2"/>
  <pageSetup paperSize="9" orientation="landscape" cellComments="asDisplayed" r:id="rId1"/>
  <headerFooter>
    <oddFooter>&amp;LFRI&amp;R&amp;D</oddFooter>
  </headerFooter>
  <rowBreaks count="3" manualBreakCount="3">
    <brk id="36" max="16383" man="1"/>
    <brk id="99" max="16383" man="1"/>
    <brk id="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F301-4225-481D-AB80-4B45F5A8D426}">
  <dimension ref="A1:T153"/>
  <sheetViews>
    <sheetView showGridLines="0" zoomScale="115" zoomScaleNormal="115" workbookViewId="0">
      <selection activeCell="D109" sqref="D109"/>
    </sheetView>
  </sheetViews>
  <sheetFormatPr baseColWidth="10" defaultColWidth="0" defaultRowHeight="15" customHeight="1" zeroHeight="1" x14ac:dyDescent="0.25"/>
  <cols>
    <col min="1" max="11" width="12.7109375" customWidth="1"/>
    <col min="12" max="12" width="0.7109375" customWidth="1"/>
    <col min="13" max="13" width="30.5703125" hidden="1" customWidth="1"/>
    <col min="14" max="14" width="10.85546875" hidden="1" customWidth="1"/>
    <col min="15" max="15" width="14.7109375" hidden="1" customWidth="1"/>
    <col min="16" max="16" width="7.7109375" hidden="1" customWidth="1"/>
    <col min="17" max="17" width="14.7109375" hidden="1" customWidth="1"/>
    <col min="18" max="18" width="7.7109375" hidden="1" customWidth="1"/>
    <col min="19" max="19" width="14.7109375" hidden="1" customWidth="1"/>
    <col min="20" max="20" width="7.7109375" hidden="1" customWidth="1"/>
    <col min="21" max="16384" width="11.42578125" hidden="1"/>
  </cols>
  <sheetData>
    <row r="1" spans="1:11" ht="21.75" thickBot="1" x14ac:dyDescent="0.4">
      <c r="A1" s="127" t="s">
        <v>117</v>
      </c>
      <c r="B1" s="127"/>
      <c r="C1" s="128" t="s">
        <v>142</v>
      </c>
      <c r="D1" s="128"/>
      <c r="E1" s="128"/>
      <c r="F1" s="128"/>
      <c r="G1" s="128"/>
      <c r="H1" s="128"/>
      <c r="I1" s="128"/>
      <c r="J1" s="128"/>
      <c r="K1" s="128"/>
    </row>
    <row r="2" spans="1:11" ht="4.5" customHeight="1" thickBot="1" x14ac:dyDescent="0.3"/>
    <row r="3" spans="1:11" ht="27" customHeight="1" thickBot="1" x14ac:dyDescent="0.3">
      <c r="A3" s="129" t="str">
        <f>'Simulation A1'!A3</f>
        <v xml:space="preserve">Hypothèse de prix du lait de février à juin selon information Mooh du 14.01.2026 incluant la contribution fédérale de 5cts. Spécificité du modèle de planification : bonus 1.5 cts sur l’ensemble du volume de lait livré, pénalité moyenne de 32.8 cts par kg de lait surlivré. Spécificité du modèle de base 4% valorisé en lait C à 21cts. </v>
      </c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4.5" customHeight="1" x14ac:dyDescent="0.25"/>
    <row r="5" spans="1:11" ht="13.5" customHeight="1" x14ac:dyDescent="0.25">
      <c r="A5" t="s">
        <v>1</v>
      </c>
      <c r="D5" s="132" t="s">
        <v>2</v>
      </c>
      <c r="E5" s="132"/>
      <c r="G5" t="s">
        <v>3</v>
      </c>
      <c r="K5" s="31">
        <f>'Simulation A1'!K5</f>
        <v>150</v>
      </c>
    </row>
    <row r="6" spans="1:11" ht="13.5" customHeight="1" x14ac:dyDescent="0.25">
      <c r="A6" s="71" t="str">
        <f>IF(D5="Modèle de base","",IF(D5="Modèle de planification","Quantité mensuelle annoncée [kg]"))</f>
        <v>Quantité mensuelle annoncée [kg]</v>
      </c>
      <c r="B6" s="71"/>
      <c r="C6" s="71"/>
      <c r="D6" s="71"/>
      <c r="E6" s="72">
        <f>'Simulation A1'!E6</f>
        <v>25500</v>
      </c>
      <c r="G6" t="s">
        <v>4</v>
      </c>
      <c r="K6" s="50">
        <f>'Simulation A1'!K6</f>
        <v>0.84943999999999997</v>
      </c>
    </row>
    <row r="7" spans="1:11" ht="13.5" customHeight="1" x14ac:dyDescent="0.25">
      <c r="A7" t="s">
        <v>5</v>
      </c>
      <c r="E7" s="31">
        <f>'Simulation A1'!E7</f>
        <v>306000</v>
      </c>
      <c r="G7" t="s">
        <v>6</v>
      </c>
      <c r="K7" s="50">
        <f>'Simulation A1'!K7</f>
        <v>0.88900000000000001</v>
      </c>
    </row>
    <row r="8" spans="1:11" ht="13.5" customHeight="1" x14ac:dyDescent="0.25">
      <c r="A8" t="s">
        <v>7</v>
      </c>
      <c r="E8" s="31">
        <f>'Simulation A1'!E8</f>
        <v>127500</v>
      </c>
      <c r="G8" t="s">
        <v>8</v>
      </c>
      <c r="H8" s="73"/>
      <c r="I8" s="73"/>
      <c r="J8" s="73"/>
      <c r="K8" s="50">
        <f>'Simulation A1'!K8</f>
        <v>0.56100000000000017</v>
      </c>
    </row>
    <row r="9" spans="1:11" ht="13.5" customHeight="1" thickBot="1" x14ac:dyDescent="0.3">
      <c r="A9" t="s">
        <v>9</v>
      </c>
      <c r="G9" s="31">
        <v>145500</v>
      </c>
      <c r="I9" s="69"/>
      <c r="J9" s="74" t="s">
        <v>139</v>
      </c>
      <c r="K9" s="66">
        <f>(G9/E8)-1</f>
        <v>0.14117647058823524</v>
      </c>
    </row>
    <row r="10" spans="1:11" ht="13.5" customHeight="1" thickTop="1" thickBot="1" x14ac:dyDescent="0.3">
      <c r="A10" t="s">
        <v>10</v>
      </c>
      <c r="G10" s="67">
        <f>G9-E27-E90-E130</f>
        <v>145500</v>
      </c>
      <c r="I10" s="69"/>
      <c r="J10" s="74" t="s">
        <v>140</v>
      </c>
      <c r="K10" s="68">
        <f>(G10/E8)-1</f>
        <v>0.14117647058823524</v>
      </c>
    </row>
    <row r="11" spans="1:11" ht="13.5" customHeight="1" thickTop="1" thickBot="1" x14ac:dyDescent="0.3">
      <c r="A11" t="str">
        <f>IF(D5="Modèle de base","Diminution de quantité par rapport à la même période 2025 [kg]",IF(D5="Modèle de planification","Surlivraisons dans le modèle de planification [kg]",""))</f>
        <v>Surlivraisons dans le modèle de planification [kg]</v>
      </c>
      <c r="F11" s="77">
        <f>IF(D5="Modèle de planification",IF(G10-(E6*5)&lt;=0,0,G10-(E6*5)),IF(D5="Modèle de base",IF(E8-G10&lt;0,0,E8-G10),""))</f>
        <v>18000</v>
      </c>
      <c r="H11" s="70"/>
      <c r="I11" s="69"/>
      <c r="J11" s="74" t="str">
        <f>IF(D5="Modèle de planification","Taux de surlivraison en modèle planification","")</f>
        <v>Taux de surlivraison en modèle planification</v>
      </c>
      <c r="K11" s="66">
        <f>IF(D5="Modèle de planification",IF(F11&gt;0,F11/(E6*5),0),"")</f>
        <v>0.14117647058823529</v>
      </c>
    </row>
    <row r="12" spans="1:11" ht="13.5" customHeight="1" thickBot="1" x14ac:dyDescent="0.3">
      <c r="H12" s="70"/>
      <c r="I12" s="69"/>
      <c r="J12" s="74" t="str">
        <f>IF(D5="Modèle de base","Supplément de prix pour diminution de la quantité produit en modèle de base [Fr./kg]",IF(D5="Modèle de planification","Diminution de prix pour surlivraison en modèle planification [Fr./kg]"))</f>
        <v>Diminution de prix pour surlivraison en modèle planification [Fr./kg]</v>
      </c>
      <c r="K12" s="75">
        <f>IF(D5="Modèle de planification",-K11*(K7-K8),IF(D5="Modèle de base",IF(K10&lt;=-0.1,0.04,IF(K10&lt;=-0.05,0.02,0))))</f>
        <v>-4.6305882352941155E-2</v>
      </c>
    </row>
    <row r="13" spans="1:11" ht="13.5" customHeight="1" thickTop="1" thickBot="1" x14ac:dyDescent="0.3">
      <c r="C13" s="78"/>
      <c r="G13" s="75"/>
      <c r="J13" s="74" t="str">
        <f>IF(D5="Modèle de planification","Prix du lait après éventuelles réductions pour surlivraisons [Fr./kg]",IF(D5="Modèle de base","Prix du lait après mesures volontaire de réduction [Fr./kg]"))</f>
        <v>Prix du lait après éventuelles réductions pour surlivraisons [Fr./kg]</v>
      </c>
      <c r="K13" s="76">
        <f>IF(D5="Modèle de base",SUM(K6,K12),IF(D5="Modèle de planification",SUM(K7,K12)))</f>
        <v>0.84269411764705882</v>
      </c>
    </row>
    <row r="14" spans="1:11" ht="4.5" customHeight="1" thickTop="1" x14ac:dyDescent="0.25"/>
    <row r="15" spans="1:11" ht="15" customHeight="1" x14ac:dyDescent="0.25">
      <c r="A15" s="105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4.5" customHeight="1" x14ac:dyDescent="0.25"/>
    <row r="17" spans="1:11" x14ac:dyDescent="0.25">
      <c r="A17" s="104" t="s">
        <v>12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ht="13.5" customHeight="1" x14ac:dyDescent="0.25">
      <c r="A18" t="s">
        <v>13</v>
      </c>
      <c r="F18" s="30">
        <f>'Simulation A1'!F18</f>
        <v>7.3</v>
      </c>
      <c r="H18" s="101"/>
      <c r="I18" s="101"/>
      <c r="J18" s="101"/>
      <c r="K18" s="101"/>
    </row>
    <row r="19" spans="1:11" ht="13.5" customHeight="1" x14ac:dyDescent="0.25">
      <c r="A19" t="s">
        <v>14</v>
      </c>
      <c r="F19" s="30">
        <f>'Simulation A1'!F19</f>
        <v>144</v>
      </c>
      <c r="H19" s="101"/>
      <c r="I19" s="101"/>
      <c r="J19" s="101"/>
      <c r="K19" s="101"/>
    </row>
    <row r="20" spans="1:11" ht="13.5" customHeight="1" x14ac:dyDescent="0.25">
      <c r="A20" t="s">
        <v>15</v>
      </c>
      <c r="F20" s="82">
        <v>0</v>
      </c>
      <c r="G20" s="85" t="s">
        <v>16</v>
      </c>
      <c r="H20" s="101"/>
      <c r="I20" s="101"/>
      <c r="J20" s="101"/>
      <c r="K20" s="101"/>
    </row>
    <row r="21" spans="1:11" ht="13.5" customHeight="1" x14ac:dyDescent="0.25">
      <c r="A21" t="s">
        <v>17</v>
      </c>
      <c r="F21" s="2">
        <f>F20/150</f>
        <v>0</v>
      </c>
      <c r="H21" s="101"/>
      <c r="I21" s="101"/>
      <c r="J21" s="101"/>
      <c r="K21" s="101"/>
    </row>
    <row r="22" spans="1:11" ht="13.5" customHeight="1" x14ac:dyDescent="0.25">
      <c r="A22" t="s">
        <v>18</v>
      </c>
      <c r="E22" s="3"/>
      <c r="F22">
        <v>45</v>
      </c>
      <c r="H22" s="101"/>
      <c r="I22" s="101"/>
      <c r="J22" s="101"/>
      <c r="K22" s="101"/>
    </row>
    <row r="23" spans="1:11" ht="13.5" customHeight="1" x14ac:dyDescent="0.25">
      <c r="A23" t="s">
        <v>19</v>
      </c>
      <c r="D23" s="5"/>
      <c r="F23" s="3">
        <f>F20*F18/3.14</f>
        <v>0</v>
      </c>
    </row>
    <row r="24" spans="1:11" ht="13.5" customHeight="1" x14ac:dyDescent="0.25">
      <c r="A24" t="s">
        <v>20</v>
      </c>
      <c r="F24" s="2">
        <f>F23/150</f>
        <v>0</v>
      </c>
    </row>
    <row r="25" spans="1:11" ht="4.5" customHeight="1" x14ac:dyDescent="0.25">
      <c r="D25" s="2"/>
      <c r="E25" s="28"/>
    </row>
    <row r="26" spans="1:11" ht="15.75" thickBot="1" x14ac:dyDescent="0.3">
      <c r="A26" s="104" t="s">
        <v>21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1" ht="13.5" customHeight="1" thickBot="1" x14ac:dyDescent="0.3">
      <c r="A27" t="s">
        <v>22</v>
      </c>
      <c r="D27" s="2"/>
      <c r="E27" s="79">
        <f>(F23*F22)</f>
        <v>0</v>
      </c>
    </row>
    <row r="28" spans="1:11" ht="4.9000000000000004" customHeight="1" x14ac:dyDescent="0.25">
      <c r="D28" s="2"/>
      <c r="E28" s="3"/>
    </row>
    <row r="29" spans="1:11" x14ac:dyDescent="0.25">
      <c r="A29" s="104" t="s">
        <v>23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1" ht="4.9000000000000004" customHeight="1" x14ac:dyDescent="0.25"/>
    <row r="31" spans="1:11" ht="30" customHeight="1" x14ac:dyDescent="0.25">
      <c r="A31" s="109" t="s">
        <v>24</v>
      </c>
      <c r="B31" s="110"/>
      <c r="C31" s="88" t="s">
        <v>25</v>
      </c>
      <c r="D31" s="88" t="s">
        <v>26</v>
      </c>
      <c r="E31" s="88" t="s">
        <v>27</v>
      </c>
      <c r="F31" s="88" t="s">
        <v>28</v>
      </c>
      <c r="G31" s="124" t="s">
        <v>29</v>
      </c>
      <c r="H31" s="124"/>
      <c r="I31" s="120" t="s">
        <v>30</v>
      </c>
      <c r="J31" s="121"/>
    </row>
    <row r="32" spans="1:11" ht="13.5" customHeight="1" x14ac:dyDescent="0.25">
      <c r="A32" s="107" t="s">
        <v>31</v>
      </c>
      <c r="B32" s="108"/>
      <c r="C32" s="8">
        <f>-F20*F22/100</f>
        <v>0</v>
      </c>
      <c r="D32" s="86" t="s">
        <v>32</v>
      </c>
      <c r="E32" s="8">
        <f>F19</f>
        <v>144</v>
      </c>
      <c r="F32" s="4">
        <f>-C32*E32</f>
        <v>0</v>
      </c>
      <c r="G32" s="122">
        <f>F32/$G$10</f>
        <v>0</v>
      </c>
      <c r="H32" s="122"/>
      <c r="I32" s="122">
        <f>IFERROR(F32/E27,0)</f>
        <v>0</v>
      </c>
      <c r="J32" s="122"/>
    </row>
    <row r="33" spans="1:11" ht="13.5" customHeight="1" x14ac:dyDescent="0.25">
      <c r="A33" s="107" t="s">
        <v>33</v>
      </c>
      <c r="B33" s="108"/>
      <c r="C33" s="13">
        <f>-E27</f>
        <v>0</v>
      </c>
      <c r="D33" s="86" t="s">
        <v>34</v>
      </c>
      <c r="E33" s="87">
        <f>K13</f>
        <v>0.84269411764705882</v>
      </c>
      <c r="F33" s="4">
        <f>C33*E33</f>
        <v>0</v>
      </c>
      <c r="G33" s="122">
        <f>F33/$G$10</f>
        <v>0</v>
      </c>
      <c r="H33" s="122"/>
      <c r="I33" s="122">
        <f>IFERROR(F33/E27,0)</f>
        <v>0</v>
      </c>
      <c r="J33" s="122"/>
    </row>
    <row r="34" spans="1:11" ht="4.9000000000000004" customHeight="1" thickBot="1" x14ac:dyDescent="0.3">
      <c r="F34" s="5"/>
      <c r="G34" s="5"/>
      <c r="I34" s="5"/>
    </row>
    <row r="35" spans="1:11" ht="13.5" customHeight="1" thickTop="1" thickBot="1" x14ac:dyDescent="0.3">
      <c r="A35" s="1" t="s">
        <v>35</v>
      </c>
      <c r="B35" s="1"/>
      <c r="F35" s="6">
        <f>SUM(F32:F33)</f>
        <v>0</v>
      </c>
      <c r="G35" s="111">
        <f>SUM(G32:G33)</f>
        <v>0</v>
      </c>
      <c r="H35" s="112"/>
      <c r="I35" s="111">
        <f>SUM(I32:I33)</f>
        <v>0</v>
      </c>
      <c r="J35" s="112"/>
    </row>
    <row r="36" spans="1:11" ht="4.9000000000000004" customHeight="1" thickTop="1" x14ac:dyDescent="0.25"/>
    <row r="37" spans="1:11" x14ac:dyDescent="0.25">
      <c r="A37" s="105" t="s">
        <v>36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1" ht="4.5" customHeight="1" x14ac:dyDescent="0.25"/>
    <row r="39" spans="1:11" x14ac:dyDescent="0.25">
      <c r="A39" s="104" t="s">
        <v>12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ht="4.9000000000000004" customHeight="1" x14ac:dyDescent="0.25"/>
    <row r="41" spans="1:11" x14ac:dyDescent="0.25">
      <c r="A41" s="23" t="s">
        <v>37</v>
      </c>
      <c r="B41" s="24"/>
      <c r="C41" s="24"/>
      <c r="D41" s="24"/>
      <c r="E41" s="24"/>
      <c r="F41" s="24"/>
      <c r="G41" s="24"/>
      <c r="H41" s="24"/>
      <c r="I41" s="24"/>
    </row>
    <row r="42" spans="1:11" ht="4.9000000000000004" customHeight="1" x14ac:dyDescent="0.25"/>
    <row r="43" spans="1:11" ht="13.5" customHeight="1" x14ac:dyDescent="0.25">
      <c r="A43" s="9" t="s">
        <v>38</v>
      </c>
      <c r="B43" s="9"/>
      <c r="C43" s="106" t="s">
        <v>39</v>
      </c>
      <c r="D43" s="106"/>
      <c r="E43" s="9" t="s">
        <v>40</v>
      </c>
      <c r="F43" s="106" t="s">
        <v>41</v>
      </c>
      <c r="G43" s="106"/>
    </row>
    <row r="44" spans="1:11" ht="13.5" customHeight="1" x14ac:dyDescent="0.25">
      <c r="A44" s="8" t="s">
        <v>42</v>
      </c>
      <c r="B44" s="8"/>
      <c r="C44" s="103">
        <v>16.600000000000001</v>
      </c>
      <c r="D44" s="103"/>
      <c r="E44" s="32">
        <v>0.15</v>
      </c>
      <c r="F44" s="102">
        <f>IFERROR(C44/E44,"")</f>
        <v>110.66666666666669</v>
      </c>
      <c r="G44" s="102"/>
    </row>
    <row r="45" spans="1:11" ht="13.5" customHeight="1" x14ac:dyDescent="0.25">
      <c r="A45" s="107" t="s">
        <v>43</v>
      </c>
      <c r="B45" s="108"/>
      <c r="C45" s="103">
        <v>15.32</v>
      </c>
      <c r="D45" s="103"/>
      <c r="E45" s="32">
        <v>0.88</v>
      </c>
      <c r="F45" s="102">
        <f>IFERROR(C45/E45,"")</f>
        <v>17.40909090909091</v>
      </c>
      <c r="G45" s="102"/>
    </row>
    <row r="46" spans="1:11" ht="13.5" customHeight="1" x14ac:dyDescent="0.25">
      <c r="A46" s="8" t="s">
        <v>44</v>
      </c>
      <c r="B46" s="8"/>
      <c r="C46" s="103">
        <v>23.1</v>
      </c>
      <c r="D46" s="103"/>
      <c r="E46" s="32">
        <v>0.3</v>
      </c>
      <c r="F46" s="102">
        <f>IFERROR(C46/E46,"")</f>
        <v>77.000000000000014</v>
      </c>
      <c r="G46" s="102"/>
    </row>
    <row r="47" spans="1:11" ht="13.5" customHeight="1" x14ac:dyDescent="0.25">
      <c r="A47" s="8" t="s">
        <v>45</v>
      </c>
      <c r="B47" s="8"/>
      <c r="C47" s="103">
        <v>11.68</v>
      </c>
      <c r="D47" s="103"/>
      <c r="E47" s="32">
        <v>0.32</v>
      </c>
      <c r="F47" s="102">
        <f>IFERROR(C47/E47,"")</f>
        <v>36.5</v>
      </c>
      <c r="G47" s="102"/>
    </row>
    <row r="48" spans="1:11" ht="13.5" customHeight="1" x14ac:dyDescent="0.25">
      <c r="A48" s="115" t="s">
        <v>46</v>
      </c>
      <c r="B48" s="116"/>
      <c r="C48" s="103"/>
      <c r="D48" s="103"/>
      <c r="E48" s="32"/>
      <c r="F48" s="102" t="str">
        <f>IFERROR(C48/E48,"")</f>
        <v/>
      </c>
      <c r="G48" s="102"/>
    </row>
    <row r="49" spans="1:11" ht="13.5" customHeight="1" x14ac:dyDescent="0.25">
      <c r="A49" s="1" t="s">
        <v>47</v>
      </c>
      <c r="B49" s="1"/>
      <c r="C49" s="117">
        <f>SUM(C44:D48)</f>
        <v>66.7</v>
      </c>
      <c r="D49" s="117"/>
      <c r="E49" s="1"/>
      <c r="F49" s="118">
        <f>SUM(F44:G48)</f>
        <v>241.57575757575762</v>
      </c>
      <c r="G49" s="118"/>
    </row>
    <row r="50" spans="1:11" ht="4.9000000000000004" customHeight="1" x14ac:dyDescent="0.25"/>
    <row r="51" spans="1:11" x14ac:dyDescent="0.25">
      <c r="A51" s="23" t="s">
        <v>48</v>
      </c>
      <c r="B51" s="24"/>
      <c r="C51" s="24"/>
      <c r="D51" s="24"/>
      <c r="E51" s="24"/>
      <c r="F51" s="24"/>
      <c r="G51" s="24"/>
      <c r="H51" s="24"/>
      <c r="I51" s="24"/>
    </row>
    <row r="52" spans="1:11" ht="13.5" customHeight="1" x14ac:dyDescent="0.25">
      <c r="A52" t="s">
        <v>49</v>
      </c>
      <c r="D52" s="31">
        <f>'Simulation A1'!D52</f>
        <v>3200</v>
      </c>
    </row>
    <row r="53" spans="1:11" ht="13.5" customHeight="1" x14ac:dyDescent="0.25">
      <c r="A53" t="s">
        <v>50</v>
      </c>
      <c r="D53" s="31">
        <f>'Simulation A1'!D53</f>
        <v>3300</v>
      </c>
    </row>
    <row r="54" spans="1:11" ht="13.5" customHeight="1" x14ac:dyDescent="0.25">
      <c r="A54" t="s">
        <v>51</v>
      </c>
      <c r="D54" s="31">
        <f>'Simulation A1'!D54</f>
        <v>650</v>
      </c>
    </row>
    <row r="55" spans="1:11" ht="13.5" customHeight="1" x14ac:dyDescent="0.25">
      <c r="A55" t="s">
        <v>52</v>
      </c>
      <c r="D55" s="33">
        <v>3.5</v>
      </c>
      <c r="F55" t="s">
        <v>53</v>
      </c>
      <c r="K55" s="43">
        <f>VLOOKUP(D56,'Solde de lait à traire'!$A$4:$B$47,2,FALSE)/100</f>
        <v>0.35438487128960106</v>
      </c>
    </row>
    <row r="56" spans="1:11" ht="13.5" customHeight="1" x14ac:dyDescent="0.25">
      <c r="A56" t="s">
        <v>54</v>
      </c>
      <c r="D56" s="31">
        <v>25</v>
      </c>
      <c r="F56" t="s">
        <v>55</v>
      </c>
      <c r="K56" s="43">
        <f>(44-D56)/44</f>
        <v>0.43181818181818182</v>
      </c>
    </row>
    <row r="57" spans="1:11" ht="13.5" customHeight="1" x14ac:dyDescent="0.25">
      <c r="A57" t="s">
        <v>56</v>
      </c>
      <c r="I57" s="83"/>
      <c r="J57" s="85" t="s">
        <v>16</v>
      </c>
    </row>
    <row r="58" spans="1:11" ht="4.9000000000000004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</row>
    <row r="59" spans="1:11" x14ac:dyDescent="0.25">
      <c r="A59" s="23" t="s">
        <v>57</v>
      </c>
      <c r="B59" s="24"/>
      <c r="C59" s="24"/>
      <c r="D59" s="24"/>
      <c r="E59" s="24"/>
      <c r="F59" s="24"/>
      <c r="G59" s="24"/>
      <c r="H59" s="24"/>
      <c r="I59" s="24"/>
    </row>
    <row r="60" spans="1:11" ht="4.9000000000000004" customHeight="1" x14ac:dyDescent="0.25"/>
    <row r="61" spans="1:11" s="47" customFormat="1" ht="60" x14ac:dyDescent="0.25">
      <c r="A61" s="139"/>
      <c r="B61" s="139"/>
      <c r="C61" s="139"/>
      <c r="D61" s="45" t="s">
        <v>25</v>
      </c>
      <c r="E61" s="46" t="s">
        <v>26</v>
      </c>
      <c r="F61" s="45" t="s">
        <v>58</v>
      </c>
      <c r="G61" s="45" t="s">
        <v>59</v>
      </c>
      <c r="H61" s="45" t="s">
        <v>60</v>
      </c>
      <c r="I61" s="46" t="s">
        <v>61</v>
      </c>
      <c r="J61"/>
    </row>
    <row r="62" spans="1:11" ht="13.5" customHeight="1" x14ac:dyDescent="0.25">
      <c r="A62" s="17" t="s">
        <v>62</v>
      </c>
      <c r="B62" s="18"/>
      <c r="C62" s="19"/>
      <c r="D62" s="34">
        <f>'Simulation A1'!D62</f>
        <v>7000</v>
      </c>
      <c r="E62" s="8" t="s">
        <v>63</v>
      </c>
      <c r="F62" s="12">
        <f>K13</f>
        <v>0.84269411764705882</v>
      </c>
      <c r="G62" s="13">
        <f>D62*F62</f>
        <v>5898.8588235294119</v>
      </c>
      <c r="H62" s="44">
        <f>$K$55</f>
        <v>0.35438487128960106</v>
      </c>
      <c r="I62" s="13">
        <f>-G62*H62</f>
        <v>-2090.4663249319983</v>
      </c>
    </row>
    <row r="63" spans="1:11" ht="13.5" customHeight="1" x14ac:dyDescent="0.25">
      <c r="A63" s="17" t="s">
        <v>64</v>
      </c>
      <c r="B63" s="18"/>
      <c r="C63" s="19"/>
      <c r="D63" s="26">
        <f>1/D55</f>
        <v>0.2857142857142857</v>
      </c>
      <c r="E63" s="8" t="s">
        <v>65</v>
      </c>
      <c r="F63" s="27">
        <f>D52</f>
        <v>3200</v>
      </c>
      <c r="G63" s="13">
        <f>D63*F63</f>
        <v>914.28571428571422</v>
      </c>
      <c r="H63" s="44">
        <v>0</v>
      </c>
      <c r="I63" s="13">
        <f t="shared" ref="I63:I66" si="0">-G63*H63</f>
        <v>0</v>
      </c>
    </row>
    <row r="64" spans="1:11" ht="13.5" customHeight="1" x14ac:dyDescent="0.25">
      <c r="A64" s="17" t="s">
        <v>66</v>
      </c>
      <c r="B64" s="18"/>
      <c r="C64" s="19"/>
      <c r="D64" s="35">
        <v>0.95</v>
      </c>
      <c r="E64" s="8" t="s">
        <v>67</v>
      </c>
      <c r="F64" s="27">
        <f>D54</f>
        <v>650</v>
      </c>
      <c r="G64" s="13">
        <f>D64*F64</f>
        <v>617.5</v>
      </c>
      <c r="H64" s="44">
        <v>0</v>
      </c>
      <c r="I64" s="13">
        <f t="shared" si="0"/>
        <v>0</v>
      </c>
    </row>
    <row r="65" spans="1:10" ht="13.5" customHeight="1" x14ac:dyDescent="0.25">
      <c r="A65" s="17" t="s">
        <v>68</v>
      </c>
      <c r="B65" s="18"/>
      <c r="C65" s="19"/>
      <c r="D65" s="26">
        <f>D63</f>
        <v>0.2857142857142857</v>
      </c>
      <c r="E65" s="8" t="s">
        <v>69</v>
      </c>
      <c r="F65" s="27">
        <f>D53</f>
        <v>3300</v>
      </c>
      <c r="G65" s="13">
        <f>-D65*F65</f>
        <v>-942.85714285714278</v>
      </c>
      <c r="H65" s="44">
        <v>0</v>
      </c>
      <c r="I65" s="13">
        <f t="shared" si="0"/>
        <v>0</v>
      </c>
    </row>
    <row r="66" spans="1:10" ht="13.5" customHeight="1" x14ac:dyDescent="0.25">
      <c r="A66" s="17" t="s">
        <v>31</v>
      </c>
      <c r="B66" s="18"/>
      <c r="C66" s="19"/>
      <c r="D66" s="14"/>
      <c r="E66" s="14"/>
      <c r="F66" s="14"/>
      <c r="G66" s="13">
        <f>SUM(G67:G71)</f>
        <v>-596.07999999999993</v>
      </c>
      <c r="H66" s="44">
        <f>$K$55</f>
        <v>0.35438487128960106</v>
      </c>
      <c r="I66" s="13">
        <f t="shared" si="0"/>
        <v>211.24173407830537</v>
      </c>
    </row>
    <row r="67" spans="1:10" s="7" customFormat="1" ht="13.5" customHeight="1" x14ac:dyDescent="0.25">
      <c r="A67" s="20" t="s">
        <v>70</v>
      </c>
      <c r="B67" s="21"/>
      <c r="C67" s="22"/>
      <c r="D67" s="36">
        <f>'Simulation A1'!D67</f>
        <v>0</v>
      </c>
      <c r="E67" s="8" t="s">
        <v>63</v>
      </c>
      <c r="F67" s="37">
        <f>'Simulation A1'!F67</f>
        <v>0</v>
      </c>
      <c r="G67" s="15">
        <f>-D67*F67</f>
        <v>0</v>
      </c>
      <c r="H67" s="14"/>
      <c r="I67" s="14"/>
      <c r="J67"/>
    </row>
    <row r="68" spans="1:10" s="7" customFormat="1" ht="13.5" customHeight="1" x14ac:dyDescent="0.25">
      <c r="A68" s="20" t="s">
        <v>71</v>
      </c>
      <c r="B68" s="21"/>
      <c r="C68" s="22"/>
      <c r="D68" s="36">
        <f>'Simulation A1'!D68</f>
        <v>206</v>
      </c>
      <c r="E68" s="8" t="s">
        <v>63</v>
      </c>
      <c r="F68" s="37">
        <f>'Simulation A1'!F68</f>
        <v>1.1399999999999999</v>
      </c>
      <c r="G68" s="15">
        <f>-D68*F68</f>
        <v>-234.83999999999997</v>
      </c>
      <c r="H68" s="14"/>
      <c r="I68" s="14"/>
      <c r="J68"/>
    </row>
    <row r="69" spans="1:10" s="7" customFormat="1" ht="13.5" customHeight="1" x14ac:dyDescent="0.25">
      <c r="A69" s="20" t="s">
        <v>72</v>
      </c>
      <c r="B69" s="21"/>
      <c r="C69" s="22"/>
      <c r="D69" s="36">
        <f>'Simulation A1'!D69</f>
        <v>173</v>
      </c>
      <c r="E69" s="8" t="s">
        <v>63</v>
      </c>
      <c r="F69" s="99">
        <f>'Simulation A1'!F69</f>
        <v>1.38</v>
      </c>
      <c r="G69" s="15">
        <f>-D69*F69</f>
        <v>-238.73999999999998</v>
      </c>
      <c r="H69" s="14"/>
      <c r="I69" s="14"/>
      <c r="J69"/>
    </row>
    <row r="70" spans="1:10" s="7" customFormat="1" ht="13.5" customHeight="1" x14ac:dyDescent="0.25">
      <c r="A70" s="20" t="s">
        <v>73</v>
      </c>
      <c r="B70" s="21"/>
      <c r="C70" s="22"/>
      <c r="D70" s="36">
        <f>'Simulation A1'!D70</f>
        <v>45</v>
      </c>
      <c r="E70" s="8" t="s">
        <v>63</v>
      </c>
      <c r="F70" s="37">
        <f>'Simulation A1'!F70</f>
        <v>2.5</v>
      </c>
      <c r="G70" s="15">
        <f>-D70*F70</f>
        <v>-112.5</v>
      </c>
      <c r="H70" s="14"/>
      <c r="I70" s="14"/>
      <c r="J70"/>
    </row>
    <row r="71" spans="1:10" s="7" customFormat="1" ht="13.5" customHeight="1" x14ac:dyDescent="0.25">
      <c r="A71" s="20" t="s">
        <v>74</v>
      </c>
      <c r="B71" s="21"/>
      <c r="C71" s="22"/>
      <c r="D71" s="36">
        <v>20</v>
      </c>
      <c r="E71" s="8" t="s">
        <v>63</v>
      </c>
      <c r="F71" s="37">
        <v>0.5</v>
      </c>
      <c r="G71" s="15">
        <f>-D71*F71</f>
        <v>-10</v>
      </c>
      <c r="H71" s="14"/>
      <c r="I71" s="14"/>
      <c r="J71"/>
    </row>
    <row r="72" spans="1:10" ht="13.5" customHeight="1" x14ac:dyDescent="0.25">
      <c r="A72" s="17" t="s">
        <v>75</v>
      </c>
      <c r="B72" s="18"/>
      <c r="C72" s="19"/>
      <c r="D72" s="14"/>
      <c r="E72" s="14"/>
      <c r="F72" s="14"/>
      <c r="G72" s="38">
        <f>'Simulation A1'!G72</f>
        <v>-140</v>
      </c>
      <c r="H72" s="44">
        <f>$K$56</f>
        <v>0.43181818181818182</v>
      </c>
      <c r="I72" s="13">
        <f t="shared" ref="I72:I76" si="1">-G72*H72</f>
        <v>60.454545454545453</v>
      </c>
    </row>
    <row r="73" spans="1:10" ht="13.5" customHeight="1" x14ac:dyDescent="0.25">
      <c r="A73" s="17" t="s">
        <v>76</v>
      </c>
      <c r="B73" s="18"/>
      <c r="C73" s="19"/>
      <c r="D73" s="14"/>
      <c r="E73" s="14"/>
      <c r="F73" s="14"/>
      <c r="G73" s="38">
        <f>'Simulation A1'!G73</f>
        <v>-128</v>
      </c>
      <c r="H73" s="44">
        <v>0</v>
      </c>
      <c r="I73" s="13">
        <f t="shared" si="1"/>
        <v>0</v>
      </c>
    </row>
    <row r="74" spans="1:10" ht="13.5" customHeight="1" x14ac:dyDescent="0.25">
      <c r="A74" s="17" t="s">
        <v>77</v>
      </c>
      <c r="B74" s="18"/>
      <c r="C74" s="19"/>
      <c r="D74" s="14"/>
      <c r="E74" s="14"/>
      <c r="F74" s="14"/>
      <c r="G74" s="38">
        <v>-133</v>
      </c>
      <c r="H74" s="44">
        <f>$K$56</f>
        <v>0.43181818181818182</v>
      </c>
      <c r="I74" s="13">
        <f t="shared" si="1"/>
        <v>57.43181818181818</v>
      </c>
    </row>
    <row r="75" spans="1:10" ht="13.5" customHeight="1" x14ac:dyDescent="0.25">
      <c r="A75" s="17" t="s">
        <v>78</v>
      </c>
      <c r="B75" s="18"/>
      <c r="C75" s="19"/>
      <c r="D75" s="14"/>
      <c r="E75" s="14"/>
      <c r="F75" s="14"/>
      <c r="G75" s="38">
        <v>-34</v>
      </c>
      <c r="H75" s="44">
        <f>$K$56</f>
        <v>0.43181818181818182</v>
      </c>
      <c r="I75" s="13">
        <f t="shared" si="1"/>
        <v>14.681818181818182</v>
      </c>
    </row>
    <row r="76" spans="1:10" ht="13.5" customHeight="1" x14ac:dyDescent="0.25">
      <c r="A76" s="17" t="s">
        <v>79</v>
      </c>
      <c r="B76" s="18"/>
      <c r="C76" s="19"/>
      <c r="D76" s="14"/>
      <c r="E76" s="14"/>
      <c r="F76" s="14"/>
      <c r="G76" s="13">
        <f>SUM(G77:G79)</f>
        <v>265</v>
      </c>
      <c r="H76" s="44">
        <f>$K$56</f>
        <v>0.43181818181818182</v>
      </c>
      <c r="I76" s="13">
        <f t="shared" si="1"/>
        <v>-114.43181818181819</v>
      </c>
    </row>
    <row r="77" spans="1:10" s="7" customFormat="1" ht="13.5" customHeight="1" x14ac:dyDescent="0.25">
      <c r="A77" s="20" t="s">
        <v>80</v>
      </c>
      <c r="B77" s="21"/>
      <c r="C77" s="22"/>
      <c r="D77" s="36">
        <v>1</v>
      </c>
      <c r="E77" s="16" t="s">
        <v>65</v>
      </c>
      <c r="F77" s="37">
        <v>190</v>
      </c>
      <c r="G77" s="15">
        <f>D77*F77</f>
        <v>190</v>
      </c>
      <c r="H77" s="14"/>
      <c r="I77" s="14"/>
      <c r="J77"/>
    </row>
    <row r="78" spans="1:10" s="7" customFormat="1" ht="13.5" customHeight="1" x14ac:dyDescent="0.25">
      <c r="A78" s="20" t="s">
        <v>81</v>
      </c>
      <c r="B78" s="21"/>
      <c r="C78" s="22"/>
      <c r="D78" s="36"/>
      <c r="E78" s="16" t="s">
        <v>65</v>
      </c>
      <c r="F78" s="37">
        <v>350</v>
      </c>
      <c r="G78" s="15">
        <f>D78*F78</f>
        <v>0</v>
      </c>
      <c r="H78" s="14"/>
      <c r="I78" s="14"/>
      <c r="J78"/>
    </row>
    <row r="79" spans="1:10" s="7" customFormat="1" ht="13.5" customHeight="1" x14ac:dyDescent="0.25">
      <c r="A79" s="20" t="s">
        <v>82</v>
      </c>
      <c r="B79" s="21"/>
      <c r="C79" s="22"/>
      <c r="D79" s="36">
        <v>1</v>
      </c>
      <c r="E79" s="16" t="s">
        <v>65</v>
      </c>
      <c r="F79" s="37">
        <v>75</v>
      </c>
      <c r="G79" s="15">
        <f>D79*F79</f>
        <v>75</v>
      </c>
      <c r="H79" s="14"/>
      <c r="I79" s="14"/>
      <c r="J79"/>
    </row>
    <row r="80" spans="1:10" ht="13.5" customHeight="1" x14ac:dyDescent="0.25">
      <c r="A80" s="17" t="s">
        <v>38</v>
      </c>
      <c r="B80" s="18"/>
      <c r="C80" s="19"/>
      <c r="D80" s="14"/>
      <c r="E80" s="14"/>
      <c r="F80" s="14"/>
      <c r="G80" s="13">
        <f>SUM(G81:G83)</f>
        <v>-1732.7242424242427</v>
      </c>
      <c r="H80" s="44">
        <f>$K$56</f>
        <v>0.43181818181818182</v>
      </c>
      <c r="I80" s="13">
        <f t="shared" ref="I80" si="2">-G80*H80</f>
        <v>748.22183195592299</v>
      </c>
    </row>
    <row r="81" spans="1:11" s="7" customFormat="1" ht="13.5" customHeight="1" x14ac:dyDescent="0.25">
      <c r="A81" s="20" t="str">
        <f>CONCATENATE("   ",A44)</f>
        <v xml:space="preserve">   Herbe au pâturage</v>
      </c>
      <c r="B81" s="21"/>
      <c r="C81" s="22"/>
      <c r="D81" s="39">
        <f>F44</f>
        <v>110.66666666666669</v>
      </c>
      <c r="E81" s="16" t="s">
        <v>83</v>
      </c>
      <c r="F81" s="37">
        <v>1.1000000000000001</v>
      </c>
      <c r="G81" s="15">
        <f>IFERROR(-D81*F81,"")</f>
        <v>-121.73333333333336</v>
      </c>
      <c r="H81" s="14"/>
      <c r="I81" s="14"/>
      <c r="J81"/>
    </row>
    <row r="82" spans="1:11" s="7" customFormat="1" ht="13.5" customHeight="1" x14ac:dyDescent="0.25">
      <c r="A82" s="20" t="str">
        <f>CONCATENATE("   ",A45)</f>
        <v xml:space="preserve">   Foin</v>
      </c>
      <c r="B82" s="21"/>
      <c r="C82" s="22"/>
      <c r="D82" s="39">
        <f>F45</f>
        <v>17.40909090909091</v>
      </c>
      <c r="E82" s="16" t="s">
        <v>83</v>
      </c>
      <c r="F82" s="37">
        <f>'Simulation A1'!F82</f>
        <v>43</v>
      </c>
      <c r="G82" s="15">
        <f t="shared" ref="G82:G85" si="3">IFERROR(-D82*F82,"")</f>
        <v>-748.59090909090912</v>
      </c>
      <c r="H82" s="14"/>
      <c r="I82" s="14"/>
      <c r="J82"/>
    </row>
    <row r="83" spans="1:11" s="7" customFormat="1" ht="13.5" customHeight="1" x14ac:dyDescent="0.25">
      <c r="A83" s="20" t="str">
        <f>CONCATENATE("   ",A46)</f>
        <v xml:space="preserve">   Ensilage d'herbe</v>
      </c>
      <c r="B83" s="21"/>
      <c r="C83" s="22"/>
      <c r="D83" s="39">
        <f>F46</f>
        <v>77.000000000000014</v>
      </c>
      <c r="E83" s="16" t="s">
        <v>83</v>
      </c>
      <c r="F83" s="37">
        <f>'Simulation A1'!F83</f>
        <v>11.2</v>
      </c>
      <c r="G83" s="15">
        <f t="shared" si="3"/>
        <v>-862.40000000000009</v>
      </c>
      <c r="H83" s="14"/>
      <c r="I83" s="14"/>
      <c r="J83"/>
    </row>
    <row r="84" spans="1:11" s="7" customFormat="1" ht="13.5" customHeight="1" x14ac:dyDescent="0.25">
      <c r="A84" s="20" t="str">
        <f>CONCATENATE("   ",A47)</f>
        <v xml:space="preserve">   Ensilage de maïs</v>
      </c>
      <c r="B84" s="21"/>
      <c r="C84" s="22"/>
      <c r="D84" s="39">
        <f>F47</f>
        <v>36.5</v>
      </c>
      <c r="E84" s="16" t="s">
        <v>83</v>
      </c>
      <c r="F84" s="37">
        <f>'Simulation A1'!F84</f>
        <v>13.5</v>
      </c>
      <c r="G84" s="15">
        <f t="shared" si="3"/>
        <v>-492.75</v>
      </c>
      <c r="H84" s="14"/>
      <c r="I84" s="14"/>
      <c r="J84"/>
    </row>
    <row r="85" spans="1:11" s="7" customFormat="1" ht="13.5" customHeight="1" x14ac:dyDescent="0.25">
      <c r="A85" s="20" t="str">
        <f>CONCATENATE("   ",A48)</f>
        <v xml:space="preserve">   Autre fourrage de base</v>
      </c>
      <c r="B85" s="21"/>
      <c r="C85" s="22"/>
      <c r="D85" s="39" t="str">
        <f>F48</f>
        <v/>
      </c>
      <c r="E85" s="16" t="s">
        <v>83</v>
      </c>
      <c r="F85" s="37"/>
      <c r="G85" s="15" t="str">
        <f t="shared" si="3"/>
        <v/>
      </c>
      <c r="H85" s="14"/>
      <c r="I85" s="14"/>
      <c r="J85"/>
    </row>
    <row r="86" spans="1:11" ht="13.5" customHeight="1" x14ac:dyDescent="0.25">
      <c r="A86" s="17" t="s">
        <v>84</v>
      </c>
      <c r="B86" s="18"/>
      <c r="C86" s="19"/>
      <c r="D86" s="40">
        <f>2*365/100</f>
        <v>7.3</v>
      </c>
      <c r="E86" s="8" t="s">
        <v>83</v>
      </c>
      <c r="F86" s="41">
        <f>'Simulation A1'!F86</f>
        <v>23</v>
      </c>
      <c r="G86" s="13">
        <f>-D86*F86</f>
        <v>-167.9</v>
      </c>
      <c r="H86" s="44">
        <f>$K$56</f>
        <v>0.43181818181818182</v>
      </c>
      <c r="I86" s="13">
        <f t="shared" ref="I86" si="4">-G86*H86</f>
        <v>72.502272727272725</v>
      </c>
    </row>
    <row r="87" spans="1:11" ht="13.5" customHeight="1" x14ac:dyDescent="0.25">
      <c r="A87" s="1" t="s">
        <v>47</v>
      </c>
      <c r="B87" s="1"/>
      <c r="C87" s="1"/>
      <c r="D87" s="1"/>
      <c r="E87" s="1"/>
      <c r="F87" s="1"/>
      <c r="G87" s="11">
        <f>SUM(G62:G66,G72:G76,G80,G86)</f>
        <v>3821.0831525337398</v>
      </c>
      <c r="I87" s="11">
        <f>SUM(I62:I86)</f>
        <v>-1040.3641225341335</v>
      </c>
      <c r="J87" s="11"/>
    </row>
    <row r="88" spans="1:11" ht="4.9000000000000004" customHeight="1" x14ac:dyDescent="0.25"/>
    <row r="89" spans="1:11" ht="15.75" thickBot="1" x14ac:dyDescent="0.3">
      <c r="A89" s="104" t="s">
        <v>21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</row>
    <row r="90" spans="1:11" ht="13.5" customHeight="1" thickBot="1" x14ac:dyDescent="0.3">
      <c r="A90" t="s">
        <v>22</v>
      </c>
      <c r="D90" s="2"/>
      <c r="E90" s="79">
        <f>I57*K55*D62</f>
        <v>0</v>
      </c>
    </row>
    <row r="91" spans="1:11" ht="4.9000000000000004" customHeight="1" x14ac:dyDescent="0.25"/>
    <row r="92" spans="1:11" x14ac:dyDescent="0.25">
      <c r="A92" s="104" t="s">
        <v>85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</row>
    <row r="93" spans="1:11" ht="4.9000000000000004" customHeight="1" x14ac:dyDescent="0.25"/>
    <row r="94" spans="1:11" ht="30" customHeight="1" x14ac:dyDescent="0.25">
      <c r="A94" s="109" t="s">
        <v>24</v>
      </c>
      <c r="B94" s="110"/>
      <c r="C94" s="88" t="s">
        <v>25</v>
      </c>
      <c r="D94" s="88" t="s">
        <v>26</v>
      </c>
      <c r="E94" s="88" t="s">
        <v>27</v>
      </c>
      <c r="F94" s="88" t="s">
        <v>28</v>
      </c>
      <c r="G94" s="124" t="s">
        <v>29</v>
      </c>
      <c r="H94" s="124"/>
      <c r="I94" s="120" t="s">
        <v>30</v>
      </c>
      <c r="J94" s="121"/>
    </row>
    <row r="95" spans="1:11" ht="13.5" customHeight="1" x14ac:dyDescent="0.25">
      <c r="A95" s="107" t="s">
        <v>86</v>
      </c>
      <c r="B95" s="108"/>
      <c r="C95" s="89">
        <f>-I57</f>
        <v>0</v>
      </c>
      <c r="D95" s="86" t="s">
        <v>87</v>
      </c>
      <c r="E95" s="13">
        <f>I87</f>
        <v>-1040.3641225341335</v>
      </c>
      <c r="F95" s="4">
        <f>-C95*E95</f>
        <v>0</v>
      </c>
      <c r="G95" s="122">
        <f>F95/$G$10</f>
        <v>0</v>
      </c>
      <c r="H95" s="122"/>
      <c r="I95" s="122">
        <f>IFERROR(F95/E90,0)</f>
        <v>0</v>
      </c>
      <c r="J95" s="122"/>
    </row>
    <row r="96" spans="1:11" ht="4.9000000000000004" customHeight="1" thickBot="1" x14ac:dyDescent="0.3">
      <c r="F96" s="5"/>
      <c r="G96" s="90"/>
      <c r="H96" s="80"/>
      <c r="I96" s="5"/>
    </row>
    <row r="97" spans="1:11" ht="13.5" customHeight="1" thickTop="1" thickBot="1" x14ac:dyDescent="0.3">
      <c r="A97" s="1" t="s">
        <v>35</v>
      </c>
      <c r="B97" s="1"/>
      <c r="F97" s="6">
        <f>SUM(F95:F95)</f>
        <v>0</v>
      </c>
      <c r="G97" s="111">
        <f>SUM(G95:G95)</f>
        <v>0</v>
      </c>
      <c r="H97" s="112"/>
      <c r="I97" s="111">
        <f>SUM(I94:I95)</f>
        <v>0</v>
      </c>
      <c r="J97" s="112"/>
    </row>
    <row r="98" spans="1:11" ht="4.9000000000000004" customHeight="1" thickTop="1" x14ac:dyDescent="0.25"/>
    <row r="99" spans="1:11" ht="4.9000000000000004" customHeight="1" x14ac:dyDescent="0.25"/>
    <row r="100" spans="1:11" x14ac:dyDescent="0.25">
      <c r="A100" s="105" t="s">
        <v>88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</row>
    <row r="101" spans="1:11" ht="4.9000000000000004" customHeight="1" x14ac:dyDescent="0.25"/>
    <row r="102" spans="1:11" x14ac:dyDescent="0.25">
      <c r="A102" s="104" t="s">
        <v>12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</row>
    <row r="103" spans="1:11" ht="4.9000000000000004" customHeight="1" x14ac:dyDescent="0.25"/>
    <row r="104" spans="1:11" x14ac:dyDescent="0.25">
      <c r="A104" s="23" t="s">
        <v>89</v>
      </c>
      <c r="B104" s="24"/>
      <c r="C104" s="24"/>
      <c r="D104" s="24"/>
      <c r="E104" s="24"/>
      <c r="F104" s="24"/>
      <c r="G104" s="24"/>
      <c r="H104" s="24"/>
      <c r="I104" s="24"/>
    </row>
    <row r="105" spans="1:11" ht="13.5" customHeight="1" x14ac:dyDescent="0.25">
      <c r="A105" t="s">
        <v>90</v>
      </c>
      <c r="D105" s="31">
        <v>126</v>
      </c>
    </row>
    <row r="106" spans="1:11" ht="13.5" customHeight="1" x14ac:dyDescent="0.25">
      <c r="A106" t="s">
        <v>91</v>
      </c>
      <c r="D106" s="33">
        <f>'Simulation A1'!D106</f>
        <v>16.3</v>
      </c>
    </row>
    <row r="107" spans="1:11" ht="13.5" customHeight="1" x14ac:dyDescent="0.25">
      <c r="A107" t="s">
        <v>92</v>
      </c>
      <c r="D107" s="31">
        <v>74</v>
      </c>
    </row>
    <row r="108" spans="1:11" ht="13.5" customHeight="1" x14ac:dyDescent="0.25">
      <c r="A108" t="s">
        <v>93</v>
      </c>
      <c r="D108" s="33">
        <f>'Simulation A1'!D108</f>
        <v>8.5</v>
      </c>
    </row>
    <row r="109" spans="1:11" ht="13.5" customHeight="1" x14ac:dyDescent="0.25">
      <c r="A109" t="s">
        <v>94</v>
      </c>
      <c r="D109" s="42">
        <v>3.5000000000000003E-2</v>
      </c>
    </row>
    <row r="110" spans="1:11" ht="4.9000000000000004" customHeight="1" x14ac:dyDescent="0.25">
      <c r="A110" s="23"/>
      <c r="B110" s="24"/>
      <c r="C110" s="24"/>
      <c r="D110" s="24"/>
      <c r="E110" s="24"/>
      <c r="F110" s="24"/>
      <c r="G110" s="24"/>
      <c r="H110" s="24"/>
      <c r="I110" s="24"/>
    </row>
    <row r="111" spans="1:11" x14ac:dyDescent="0.25">
      <c r="A111" s="23" t="s">
        <v>95</v>
      </c>
      <c r="B111" s="24"/>
      <c r="C111" s="24"/>
      <c r="D111" s="24"/>
      <c r="E111" s="24"/>
      <c r="F111" s="24"/>
      <c r="G111" s="24"/>
      <c r="H111" s="24"/>
      <c r="I111" s="24"/>
    </row>
    <row r="112" spans="1:11" ht="4.9000000000000004" customHeight="1" x14ac:dyDescent="0.25"/>
    <row r="113" spans="1:11" ht="13.5" customHeight="1" x14ac:dyDescent="0.25">
      <c r="A113" s="119"/>
      <c r="B113" s="119"/>
      <c r="C113" s="119"/>
      <c r="D113" s="10" t="s">
        <v>25</v>
      </c>
      <c r="E113" s="9" t="s">
        <v>26</v>
      </c>
      <c r="F113" s="10" t="s">
        <v>58</v>
      </c>
      <c r="G113" s="135" t="s">
        <v>96</v>
      </c>
      <c r="H113" s="136"/>
    </row>
    <row r="114" spans="1:11" ht="13.5" customHeight="1" x14ac:dyDescent="0.25">
      <c r="A114" s="17" t="s">
        <v>97</v>
      </c>
      <c r="B114" s="18"/>
      <c r="C114" s="19"/>
      <c r="D114" s="25">
        <f>D105*(1-D109)</f>
        <v>121.58999999999999</v>
      </c>
      <c r="E114" s="8" t="s">
        <v>98</v>
      </c>
      <c r="F114" s="12">
        <f>D106</f>
        <v>16.3</v>
      </c>
      <c r="G114" s="113">
        <f>D114*F114</f>
        <v>1981.9169999999999</v>
      </c>
      <c r="H114" s="114"/>
    </row>
    <row r="115" spans="1:11" ht="13.5" customHeight="1" x14ac:dyDescent="0.25">
      <c r="A115" s="17" t="s">
        <v>99</v>
      </c>
      <c r="B115" s="18"/>
      <c r="C115" s="19"/>
      <c r="D115" s="26">
        <f>D107</f>
        <v>74</v>
      </c>
      <c r="E115" s="8" t="s">
        <v>100</v>
      </c>
      <c r="F115" s="12">
        <f>D108</f>
        <v>8.5</v>
      </c>
      <c r="G115" s="113">
        <f>-D115*F115</f>
        <v>-629</v>
      </c>
      <c r="H115" s="114"/>
    </row>
    <row r="116" spans="1:11" ht="13.5" customHeight="1" x14ac:dyDescent="0.25">
      <c r="A116" s="17" t="s">
        <v>101</v>
      </c>
      <c r="B116" s="18"/>
      <c r="C116" s="19"/>
      <c r="D116" s="14"/>
      <c r="E116" s="14"/>
      <c r="F116" s="14"/>
      <c r="G116" s="113">
        <f>SUM(G117:G120)</f>
        <v>-1547.15</v>
      </c>
      <c r="H116" s="114"/>
    </row>
    <row r="117" spans="1:11" s="7" customFormat="1" ht="13.5" customHeight="1" x14ac:dyDescent="0.25">
      <c r="A117" s="20" t="s">
        <v>102</v>
      </c>
      <c r="B117" s="21"/>
      <c r="C117" s="22"/>
      <c r="D117" s="36">
        <v>1350</v>
      </c>
      <c r="E117" s="8" t="s">
        <v>63</v>
      </c>
      <c r="F117" s="29">
        <f>K7</f>
        <v>0.88900000000000001</v>
      </c>
      <c r="G117" s="113">
        <f>-D117*F117</f>
        <v>-1200.1500000000001</v>
      </c>
      <c r="H117" s="114"/>
    </row>
    <row r="118" spans="1:11" s="7" customFormat="1" ht="13.5" customHeight="1" x14ac:dyDescent="0.25">
      <c r="A118" s="20" t="s">
        <v>103</v>
      </c>
      <c r="B118" s="21"/>
      <c r="C118" s="22"/>
      <c r="D118" s="36">
        <f>'Simulation A1'!D118</f>
        <v>110</v>
      </c>
      <c r="E118" s="8" t="s">
        <v>63</v>
      </c>
      <c r="F118" s="37">
        <f>'Simulation A1'!F118</f>
        <v>3.1</v>
      </c>
      <c r="G118" s="113">
        <f>-D118*F118</f>
        <v>-341</v>
      </c>
      <c r="H118" s="114"/>
    </row>
    <row r="119" spans="1:11" s="7" customFormat="1" ht="13.5" customHeight="1" x14ac:dyDescent="0.25">
      <c r="A119" s="20" t="s">
        <v>73</v>
      </c>
      <c r="B119" s="21"/>
      <c r="C119" s="22"/>
      <c r="D119" s="36">
        <v>2</v>
      </c>
      <c r="E119" s="8" t="s">
        <v>63</v>
      </c>
      <c r="F119" s="37">
        <f>'Simulation A1'!F119</f>
        <v>2.5</v>
      </c>
      <c r="G119" s="113">
        <f>-D119*F119</f>
        <v>-5</v>
      </c>
      <c r="H119" s="114"/>
    </row>
    <row r="120" spans="1:11" s="7" customFormat="1" ht="13.5" customHeight="1" x14ac:dyDescent="0.25">
      <c r="A120" s="20" t="s">
        <v>74</v>
      </c>
      <c r="B120" s="21"/>
      <c r="C120" s="22"/>
      <c r="D120" s="36">
        <v>2</v>
      </c>
      <c r="E120" s="8" t="s">
        <v>63</v>
      </c>
      <c r="F120" s="37">
        <v>0.5</v>
      </c>
      <c r="G120" s="113">
        <f>-D120*F120</f>
        <v>-1</v>
      </c>
      <c r="H120" s="114"/>
    </row>
    <row r="121" spans="1:11" ht="13.5" customHeight="1" x14ac:dyDescent="0.25">
      <c r="A121" s="17" t="s">
        <v>75</v>
      </c>
      <c r="B121" s="18"/>
      <c r="C121" s="19"/>
      <c r="D121" s="14"/>
      <c r="E121" s="14"/>
      <c r="F121" s="14"/>
      <c r="G121" s="125">
        <v>-60</v>
      </c>
      <c r="H121" s="126"/>
    </row>
    <row r="122" spans="1:11" ht="13.5" customHeight="1" x14ac:dyDescent="0.25">
      <c r="A122" s="17" t="s">
        <v>77</v>
      </c>
      <c r="B122" s="18"/>
      <c r="C122" s="19"/>
      <c r="D122" s="14"/>
      <c r="E122" s="14"/>
      <c r="F122" s="14"/>
      <c r="G122" s="125">
        <v>-49</v>
      </c>
      <c r="H122" s="126"/>
    </row>
    <row r="123" spans="1:11" ht="13.5" customHeight="1" x14ac:dyDescent="0.25">
      <c r="A123" s="17" t="s">
        <v>78</v>
      </c>
      <c r="B123" s="18"/>
      <c r="C123" s="19"/>
      <c r="D123" s="14"/>
      <c r="E123" s="14"/>
      <c r="F123" s="14"/>
      <c r="G123" s="125"/>
      <c r="H123" s="126"/>
    </row>
    <row r="124" spans="1:11" ht="13.5" customHeight="1" x14ac:dyDescent="0.25">
      <c r="A124" s="17" t="s">
        <v>43</v>
      </c>
      <c r="B124" s="18"/>
      <c r="C124" s="19"/>
      <c r="D124" s="40">
        <f>0.4/0.88</f>
        <v>0.45454545454545459</v>
      </c>
      <c r="E124" s="8" t="s">
        <v>83</v>
      </c>
      <c r="F124" s="41">
        <f>'Simulation A1'!F124</f>
        <v>43</v>
      </c>
      <c r="G124" s="113">
        <f>-D124*F124</f>
        <v>-19.545454545454547</v>
      </c>
      <c r="H124" s="114"/>
    </row>
    <row r="125" spans="1:11" ht="13.5" customHeight="1" x14ac:dyDescent="0.25">
      <c r="A125" s="17" t="s">
        <v>84</v>
      </c>
      <c r="B125" s="18"/>
      <c r="C125" s="19"/>
      <c r="D125" s="40">
        <v>2</v>
      </c>
      <c r="E125" s="8" t="s">
        <v>83</v>
      </c>
      <c r="F125" s="41">
        <f>'Simulation A1'!F125</f>
        <v>23</v>
      </c>
      <c r="G125" s="113">
        <f>-D125*F125</f>
        <v>-46</v>
      </c>
      <c r="H125" s="114"/>
    </row>
    <row r="126" spans="1:11" x14ac:dyDescent="0.25">
      <c r="A126" s="1" t="s">
        <v>47</v>
      </c>
      <c r="B126" s="1"/>
      <c r="C126" s="1"/>
      <c r="D126" s="1"/>
      <c r="E126" s="1"/>
      <c r="F126" s="1"/>
      <c r="G126" s="123">
        <f>SUM(G114:G116,G121:G123,G124,G125)</f>
        <v>-368.77845454545474</v>
      </c>
      <c r="H126" s="123"/>
    </row>
    <row r="127" spans="1:11" ht="4.9000000000000004" customHeight="1" x14ac:dyDescent="0.25"/>
    <row r="128" spans="1:11" x14ac:dyDescent="0.25">
      <c r="A128" s="104" t="s">
        <v>21</v>
      </c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</row>
    <row r="129" spans="1:11" ht="13.5" customHeight="1" thickBot="1" x14ac:dyDescent="0.3">
      <c r="A129" t="s">
        <v>104</v>
      </c>
      <c r="E129" s="84"/>
      <c r="F129" s="85" t="s">
        <v>16</v>
      </c>
    </row>
    <row r="130" spans="1:11" ht="13.5" customHeight="1" thickBot="1" x14ac:dyDescent="0.3">
      <c r="A130" t="s">
        <v>22</v>
      </c>
      <c r="D130" s="2"/>
      <c r="E130" s="79">
        <f>E129*D117</f>
        <v>0</v>
      </c>
    </row>
    <row r="131" spans="1:11" ht="4.9000000000000004" customHeight="1" x14ac:dyDescent="0.25"/>
    <row r="132" spans="1:11" x14ac:dyDescent="0.25">
      <c r="A132" s="104" t="s">
        <v>85</v>
      </c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</row>
    <row r="133" spans="1:11" ht="4.9000000000000004" customHeight="1" x14ac:dyDescent="0.25"/>
    <row r="134" spans="1:11" ht="30" customHeight="1" x14ac:dyDescent="0.25">
      <c r="A134" s="109" t="s">
        <v>24</v>
      </c>
      <c r="B134" s="110"/>
      <c r="C134" s="88" t="s">
        <v>25</v>
      </c>
      <c r="D134" s="88" t="s">
        <v>26</v>
      </c>
      <c r="E134" s="88" t="s">
        <v>27</v>
      </c>
      <c r="F134" s="88" t="s">
        <v>28</v>
      </c>
      <c r="G134" s="124" t="s">
        <v>29</v>
      </c>
      <c r="H134" s="124"/>
    </row>
    <row r="135" spans="1:11" ht="13.5" customHeight="1" x14ac:dyDescent="0.25">
      <c r="A135" s="107" t="s">
        <v>105</v>
      </c>
      <c r="B135" s="108"/>
      <c r="C135" s="89">
        <f>E129</f>
        <v>0</v>
      </c>
      <c r="D135" s="86" t="s">
        <v>106</v>
      </c>
      <c r="E135" s="13">
        <f>G126</f>
        <v>-368.77845454545474</v>
      </c>
      <c r="F135" s="4">
        <f>C135*E135</f>
        <v>0</v>
      </c>
      <c r="G135" s="122">
        <f>F135/$G$10</f>
        <v>0</v>
      </c>
      <c r="H135" s="122"/>
    </row>
    <row r="136" spans="1:11" ht="4.9000000000000004" customHeight="1" thickBot="1" x14ac:dyDescent="0.3">
      <c r="F136" s="5"/>
      <c r="G136" s="90"/>
      <c r="H136" s="80"/>
    </row>
    <row r="137" spans="1:11" ht="13.5" customHeight="1" thickTop="1" thickBot="1" x14ac:dyDescent="0.3">
      <c r="A137" s="1" t="s">
        <v>35</v>
      </c>
      <c r="B137" s="1"/>
      <c r="F137" s="6">
        <f>SUM(F135:F135)</f>
        <v>0</v>
      </c>
      <c r="G137" s="111">
        <f>SUM(G135:G135)</f>
        <v>0</v>
      </c>
      <c r="H137" s="112"/>
    </row>
    <row r="138" spans="1:11" ht="4.9000000000000004" customHeight="1" thickTop="1" x14ac:dyDescent="0.25"/>
    <row r="139" spans="1:11" x14ac:dyDescent="0.25">
      <c r="A139" s="105" t="s">
        <v>107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</row>
    <row r="140" spans="1:11" ht="4.9000000000000004" customHeight="1" x14ac:dyDescent="0.25"/>
    <row r="141" spans="1:11" ht="30" customHeight="1" x14ac:dyDescent="0.25">
      <c r="A141" s="109" t="s">
        <v>24</v>
      </c>
      <c r="B141" s="110"/>
      <c r="C141" s="88" t="s">
        <v>25</v>
      </c>
      <c r="D141" s="88" t="s">
        <v>26</v>
      </c>
      <c r="E141" s="88" t="s">
        <v>27</v>
      </c>
      <c r="F141" s="88" t="s">
        <v>28</v>
      </c>
      <c r="G141" s="124" t="s">
        <v>29</v>
      </c>
      <c r="H141" s="124"/>
    </row>
    <row r="142" spans="1:11" ht="13.5" customHeight="1" x14ac:dyDescent="0.25">
      <c r="A142" s="107" t="s">
        <v>108</v>
      </c>
      <c r="B142" s="108"/>
      <c r="C142" s="13">
        <f>G10</f>
        <v>145500</v>
      </c>
      <c r="D142" s="86" t="s">
        <v>34</v>
      </c>
      <c r="E142" s="87">
        <f>K12</f>
        <v>-4.6305882352941155E-2</v>
      </c>
      <c r="F142" s="4">
        <f>C142*E142</f>
        <v>-6737.505882352938</v>
      </c>
      <c r="G142" s="122">
        <f>F142/$G$10</f>
        <v>-4.6305882352941155E-2</v>
      </c>
      <c r="H142" s="122"/>
    </row>
    <row r="143" spans="1:11" x14ac:dyDescent="0.25"/>
    <row r="144" spans="1:11" x14ac:dyDescent="0.25">
      <c r="A144" s="105" t="s">
        <v>109</v>
      </c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</row>
    <row r="145" spans="1:11" ht="4.5" customHeight="1" x14ac:dyDescent="0.25">
      <c r="I145" s="78">
        <f>F34</f>
        <v>0</v>
      </c>
    </row>
    <row r="146" spans="1:11" s="98" customFormat="1" ht="30" customHeight="1" x14ac:dyDescent="0.25">
      <c r="A146" s="95" t="s">
        <v>110</v>
      </c>
      <c r="B146" s="96"/>
      <c r="C146" s="96"/>
      <c r="D146" s="96"/>
      <c r="E146" s="96"/>
      <c r="F146" s="96"/>
      <c r="G146" s="97" t="s">
        <v>28</v>
      </c>
      <c r="H146" s="120" t="s">
        <v>111</v>
      </c>
      <c r="I146" s="121"/>
      <c r="J146" s="120" t="s">
        <v>30</v>
      </c>
      <c r="K146" s="121"/>
    </row>
    <row r="147" spans="1:11" s="94" customFormat="1" ht="30" customHeight="1" x14ac:dyDescent="0.25">
      <c r="A147" s="137" t="s">
        <v>112</v>
      </c>
      <c r="B147" s="138"/>
      <c r="C147" s="138"/>
      <c r="D147" s="138"/>
      <c r="E147" s="138"/>
      <c r="F147" s="138"/>
      <c r="G147" s="93">
        <f>F35</f>
        <v>0</v>
      </c>
      <c r="H147" s="133">
        <f>G147/$G$10</f>
        <v>0</v>
      </c>
      <c r="I147" s="134"/>
      <c r="J147" s="133">
        <f>I35</f>
        <v>0</v>
      </c>
      <c r="K147" s="134"/>
    </row>
    <row r="148" spans="1:11" x14ac:dyDescent="0.25">
      <c r="A148" s="17" t="s">
        <v>113</v>
      </c>
      <c r="B148" s="18"/>
      <c r="C148" s="18"/>
      <c r="D148" s="18"/>
      <c r="E148" s="18"/>
      <c r="F148" s="18"/>
      <c r="G148" s="13">
        <f>F97</f>
        <v>0</v>
      </c>
      <c r="H148" s="133">
        <f t="shared" ref="H148:H151" si="5">G148/$G$10</f>
        <v>0</v>
      </c>
      <c r="I148" s="134"/>
      <c r="J148" s="133">
        <f>I97</f>
        <v>0</v>
      </c>
      <c r="K148" s="134"/>
    </row>
    <row r="149" spans="1:11" x14ac:dyDescent="0.25">
      <c r="A149" s="17" t="s">
        <v>114</v>
      </c>
      <c r="B149" s="18"/>
      <c r="C149" s="18"/>
      <c r="D149" s="18"/>
      <c r="E149" s="18"/>
      <c r="F149" s="18"/>
      <c r="G149" s="13">
        <f>F137</f>
        <v>0</v>
      </c>
      <c r="H149" s="133">
        <f t="shared" si="5"/>
        <v>0</v>
      </c>
      <c r="I149" s="134"/>
      <c r="J149" s="133">
        <f>I137</f>
        <v>0</v>
      </c>
      <c r="K149" s="134"/>
    </row>
    <row r="150" spans="1:11" ht="15.75" thickBot="1" x14ac:dyDescent="0.3">
      <c r="A150" s="17" t="s">
        <v>115</v>
      </c>
      <c r="B150" s="18"/>
      <c r="C150" s="18"/>
      <c r="D150" s="18"/>
      <c r="E150" s="18"/>
      <c r="F150" s="18"/>
      <c r="G150" s="92">
        <f>F142</f>
        <v>-6737.505882352938</v>
      </c>
      <c r="H150" s="144">
        <f t="shared" si="5"/>
        <v>-4.6305882352941155E-2</v>
      </c>
      <c r="I150" s="145"/>
    </row>
    <row r="151" spans="1:11" ht="16.5" thickTop="1" thickBot="1" x14ac:dyDescent="0.3">
      <c r="A151" s="1" t="s">
        <v>116</v>
      </c>
      <c r="B151" s="1"/>
      <c r="C151" s="1"/>
      <c r="D151" s="1"/>
      <c r="E151" s="1"/>
      <c r="F151" s="1"/>
      <c r="G151" s="81">
        <f>SUM(G147:G150)</f>
        <v>-6737.505882352938</v>
      </c>
      <c r="H151" s="142">
        <f t="shared" si="5"/>
        <v>-4.6305882352941155E-2</v>
      </c>
      <c r="I151" s="143"/>
    </row>
    <row r="152" spans="1:11" ht="6" customHeight="1" thickTop="1" x14ac:dyDescent="0.25"/>
    <row r="153" spans="1:11" ht="15" customHeight="1" x14ac:dyDescent="0.25"/>
  </sheetData>
  <sheetProtection sheet="1" objects="1" scenarios="1"/>
  <mergeCells count="89">
    <mergeCell ref="H151:I151"/>
    <mergeCell ref="J146:K146"/>
    <mergeCell ref="J147:K147"/>
    <mergeCell ref="J148:K148"/>
    <mergeCell ref="J149:K149"/>
    <mergeCell ref="H146:I146"/>
    <mergeCell ref="H147:I147"/>
    <mergeCell ref="H148:I148"/>
    <mergeCell ref="H149:I149"/>
    <mergeCell ref="H150:I150"/>
    <mergeCell ref="A147:F147"/>
    <mergeCell ref="A144:K144"/>
    <mergeCell ref="G137:H137"/>
    <mergeCell ref="A139:K139"/>
    <mergeCell ref="A141:B141"/>
    <mergeCell ref="G141:H141"/>
    <mergeCell ref="A142:B142"/>
    <mergeCell ref="G142:H142"/>
    <mergeCell ref="A128:K128"/>
    <mergeCell ref="A132:K132"/>
    <mergeCell ref="A134:B134"/>
    <mergeCell ref="G134:H134"/>
    <mergeCell ref="A135:B135"/>
    <mergeCell ref="G135:H135"/>
    <mergeCell ref="G126:H126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14:H114"/>
    <mergeCell ref="I97:J97"/>
    <mergeCell ref="A61:C61"/>
    <mergeCell ref="A89:K89"/>
    <mergeCell ref="A92:K92"/>
    <mergeCell ref="A94:B94"/>
    <mergeCell ref="G94:H94"/>
    <mergeCell ref="A95:B95"/>
    <mergeCell ref="G95:H95"/>
    <mergeCell ref="I94:J94"/>
    <mergeCell ref="I95:J95"/>
    <mergeCell ref="G97:H97"/>
    <mergeCell ref="A100:K100"/>
    <mergeCell ref="A102:K102"/>
    <mergeCell ref="A113:C113"/>
    <mergeCell ref="G113:H113"/>
    <mergeCell ref="A39:K39"/>
    <mergeCell ref="C49:D49"/>
    <mergeCell ref="F49:G49"/>
    <mergeCell ref="C44:D44"/>
    <mergeCell ref="F44:G44"/>
    <mergeCell ref="A45:B45"/>
    <mergeCell ref="C45:D45"/>
    <mergeCell ref="F45:G45"/>
    <mergeCell ref="C46:D46"/>
    <mergeCell ref="F46:G46"/>
    <mergeCell ref="C47:D47"/>
    <mergeCell ref="F47:G47"/>
    <mergeCell ref="A48:B48"/>
    <mergeCell ref="C48:D48"/>
    <mergeCell ref="F48:G48"/>
    <mergeCell ref="C43:D43"/>
    <mergeCell ref="F43:G43"/>
    <mergeCell ref="I33:J33"/>
    <mergeCell ref="I35:J35"/>
    <mergeCell ref="A26:K26"/>
    <mergeCell ref="A29:K29"/>
    <mergeCell ref="A31:B31"/>
    <mergeCell ref="G31:H31"/>
    <mergeCell ref="A32:B32"/>
    <mergeCell ref="G32:H32"/>
    <mergeCell ref="I31:J31"/>
    <mergeCell ref="I32:J32"/>
    <mergeCell ref="A33:B33"/>
    <mergeCell ref="G33:H33"/>
    <mergeCell ref="G35:H35"/>
    <mergeCell ref="A37:K37"/>
    <mergeCell ref="A17:K17"/>
    <mergeCell ref="A1:B1"/>
    <mergeCell ref="C1:K1"/>
    <mergeCell ref="A3:K3"/>
    <mergeCell ref="D5:E5"/>
    <mergeCell ref="A15:K15"/>
  </mergeCells>
  <conditionalFormatting sqref="A6:E6">
    <cfRule type="expression" dxfId="13" priority="1">
      <formula>$D$5="Modèle de planification"</formula>
    </cfRule>
  </conditionalFormatting>
  <conditionalFormatting sqref="E6">
    <cfRule type="expression" dxfId="12" priority="2">
      <formula>$D$5="Modèle de planification"</formula>
    </cfRule>
  </conditionalFormatting>
  <dataValidations count="7">
    <dataValidation type="whole" allowBlank="1" showInputMessage="1" showErrorMessage="1" prompt="C'est une charge. Saisir une valeur négative." sqref="G72:G76 G121:G123" xr:uid="{E4307605-51E8-4F77-8E53-DD9BE4683BB3}">
      <formula1>-1000</formula1>
      <formula2>0</formula2>
    </dataValidation>
    <dataValidation allowBlank="1" showInputMessage="1" showErrorMessage="1" prompt="Base de calcul : valeur d'une coupe d'herbe de 15 dt = Fr. 110.- à 15% de M.S." sqref="F81" xr:uid="{C2ED3DE6-416B-4868-8CA6-C6B031D98622}"/>
    <dataValidation type="whole" allowBlank="1" showInputMessage="1" showErrorMessage="1" prompt="C'est une charge. Saisir une valeur négative." sqref="G80" xr:uid="{7EF63239-B129-4B78-B74C-770EF147057A}">
      <formula1>-2000</formula1>
      <formula2>0</formula2>
    </dataValidation>
    <dataValidation allowBlank="1" showInputMessage="1" showErrorMessage="1" prompt="Saisir ici le nombre de semaine de lactation moyen des vaches qui seront réformées prématurément pour diminuer le troupeau de vaches laitières" sqref="D57" xr:uid="{054C9362-DDB3-4EA2-9FD4-700CF8E65B2E}"/>
    <dataValidation type="whole" allowBlank="1" showInputMessage="1" showErrorMessage="1" prompt="Saisir ici le nombre de semaine de lactation moyen (entre 3 et 44) des vaches qui seront réformées prématurément pour diminuer le troupeau de vaches laitières" sqref="D56" xr:uid="{B7F416EA-79DC-44C4-B0AF-765ECB5F4FEA}">
      <formula1>3</formula1>
      <formula2>44</formula2>
    </dataValidation>
    <dataValidation type="list" allowBlank="1" showInputMessage="1" showErrorMessage="1" sqref="D5:E5" xr:uid="{36401599-A5CD-4D39-8774-044A86189872}">
      <formula1>"Modèle de base,Modèle de planification"</formula1>
    </dataValidation>
    <dataValidation allowBlank="1" showInputMessage="1" showErrorMessage="1" prompt="Si option non retenue, mettre 0" sqref="F20 I57 E129" xr:uid="{B5236C5B-C2F7-4E4D-886D-401DD9EDEEC3}"/>
  </dataValidations>
  <pageMargins left="0.23622047244094491" right="0.23622047244094491" top="0.27559055118110237" bottom="0.27559055118110237" header="0.19685039370078741" footer="7.874015748031496E-2"/>
  <pageSetup paperSize="9" orientation="landscape" cellComments="asDisplayed" r:id="rId1"/>
  <headerFooter>
    <oddFooter>&amp;LFRI&amp;R&amp;D</oddFooter>
  </headerFooter>
  <rowBreaks count="3" manualBreakCount="3">
    <brk id="36" max="16383" man="1"/>
    <brk id="99" max="16383" man="1"/>
    <brk id="1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329E5-CD1F-46C7-BF79-CB2937AD4073}">
  <dimension ref="A1:T153"/>
  <sheetViews>
    <sheetView showGridLines="0" topLeftCell="A13" zoomScale="115" zoomScaleNormal="115" workbookViewId="0">
      <selection activeCell="I57" sqref="I57"/>
    </sheetView>
  </sheetViews>
  <sheetFormatPr baseColWidth="10" defaultColWidth="0" defaultRowHeight="15" customHeight="1" zeroHeight="1" x14ac:dyDescent="0.25"/>
  <cols>
    <col min="1" max="11" width="12.7109375" customWidth="1"/>
    <col min="12" max="12" width="0.7109375" customWidth="1"/>
    <col min="13" max="13" width="30.5703125" hidden="1" customWidth="1"/>
    <col min="14" max="14" width="10.85546875" hidden="1" customWidth="1"/>
    <col min="15" max="15" width="14.7109375" hidden="1" customWidth="1"/>
    <col min="16" max="16" width="7.7109375" hidden="1" customWidth="1"/>
    <col min="17" max="17" width="14.7109375" hidden="1" customWidth="1"/>
    <col min="18" max="18" width="7.7109375" hidden="1" customWidth="1"/>
    <col min="19" max="19" width="14.7109375" hidden="1" customWidth="1"/>
    <col min="20" max="20" width="7.7109375" hidden="1" customWidth="1"/>
    <col min="21" max="16384" width="11.42578125" hidden="1"/>
  </cols>
  <sheetData>
    <row r="1" spans="1:11" ht="21.75" thickBot="1" x14ac:dyDescent="0.4">
      <c r="A1" s="127" t="s">
        <v>118</v>
      </c>
      <c r="B1" s="127"/>
      <c r="C1" s="128" t="s">
        <v>135</v>
      </c>
      <c r="D1" s="128"/>
      <c r="E1" s="128"/>
      <c r="F1" s="128"/>
      <c r="G1" s="128"/>
      <c r="H1" s="128"/>
      <c r="I1" s="128"/>
      <c r="J1" s="128"/>
      <c r="K1" s="128"/>
    </row>
    <row r="2" spans="1:11" ht="4.5" customHeight="1" thickBot="1" x14ac:dyDescent="0.3"/>
    <row r="3" spans="1:11" ht="27" customHeight="1" thickBot="1" x14ac:dyDescent="0.3">
      <c r="A3" s="129" t="str">
        <f>'Simulation A1'!A3</f>
        <v xml:space="preserve">Hypothèse de prix du lait de février à juin selon information Mooh du 14.01.2026 incluant la contribution fédérale de 5cts. Spécificité du modèle de planification : bonus 1.5 cts sur l’ensemble du volume de lait livré, pénalité moyenne de 32.8 cts par kg de lait surlivré. Spécificité du modèle de base 4% valorisé en lait C à 21cts. </v>
      </c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4.5" customHeight="1" x14ac:dyDescent="0.25"/>
    <row r="5" spans="1:11" ht="13.5" customHeight="1" x14ac:dyDescent="0.25">
      <c r="A5" t="s">
        <v>1</v>
      </c>
      <c r="D5" s="132" t="s">
        <v>119</v>
      </c>
      <c r="E5" s="132"/>
      <c r="G5" t="s">
        <v>3</v>
      </c>
      <c r="K5" s="31">
        <v>150</v>
      </c>
    </row>
    <row r="6" spans="1:11" ht="13.5" customHeight="1" x14ac:dyDescent="0.25">
      <c r="A6" s="71" t="str">
        <f>IF(D5="Modèle de base","",IF(D5="Modèle de planification","Quantité mensuelle annoncée [kg]"))</f>
        <v/>
      </c>
      <c r="B6" s="71"/>
      <c r="C6" s="71"/>
      <c r="D6" s="71"/>
      <c r="E6" s="72"/>
      <c r="G6" t="s">
        <v>4</v>
      </c>
      <c r="K6" s="50">
        <f>'Simulation A1'!K6</f>
        <v>0.84943999999999997</v>
      </c>
    </row>
    <row r="7" spans="1:11" ht="13.5" customHeight="1" x14ac:dyDescent="0.25">
      <c r="A7" t="s">
        <v>5</v>
      </c>
      <c r="E7" s="31">
        <f>'Simulation A1'!E7</f>
        <v>306000</v>
      </c>
      <c r="G7" t="s">
        <v>6</v>
      </c>
      <c r="K7" s="50">
        <f>'Simulation A1'!K7</f>
        <v>0.88900000000000001</v>
      </c>
    </row>
    <row r="8" spans="1:11" ht="13.5" customHeight="1" x14ac:dyDescent="0.25">
      <c r="A8" t="s">
        <v>7</v>
      </c>
      <c r="E8" s="31">
        <f>'Simulation A1'!E8</f>
        <v>127500</v>
      </c>
      <c r="G8" t="s">
        <v>8</v>
      </c>
      <c r="H8" s="73"/>
      <c r="I8" s="73"/>
      <c r="J8" s="73"/>
      <c r="K8" s="50">
        <f>'Simulation A1'!K8</f>
        <v>0.56100000000000017</v>
      </c>
    </row>
    <row r="9" spans="1:11" ht="13.5" customHeight="1" thickBot="1" x14ac:dyDescent="0.3">
      <c r="A9" t="s">
        <v>9</v>
      </c>
      <c r="G9" s="31">
        <v>127500</v>
      </c>
      <c r="I9" s="69"/>
      <c r="J9" s="74" t="s">
        <v>139</v>
      </c>
      <c r="K9" s="66">
        <f>(G9/E8)-1</f>
        <v>0</v>
      </c>
    </row>
    <row r="10" spans="1:11" ht="13.5" customHeight="1" thickTop="1" thickBot="1" x14ac:dyDescent="0.3">
      <c r="A10" t="s">
        <v>10</v>
      </c>
      <c r="G10" s="67">
        <f>G9-E27-E90-E130</f>
        <v>117820.7390219919</v>
      </c>
      <c r="I10" s="69"/>
      <c r="J10" s="74" t="s">
        <v>140</v>
      </c>
      <c r="K10" s="68">
        <f>(G10/E8)-1</f>
        <v>-7.591577237653413E-2</v>
      </c>
    </row>
    <row r="11" spans="1:11" ht="13.5" customHeight="1" thickTop="1" thickBot="1" x14ac:dyDescent="0.3">
      <c r="A11" t="str">
        <f>IF(D5="Modèle de base","Diminution de quantité par rapport à la même période 2025 [kg]",IF(D5="Modèle de planification","Surlivraisons dans le modèle de planification [kg]",""))</f>
        <v>Diminution de quantité par rapport à la même période 2025 [kg]</v>
      </c>
      <c r="F11" s="77">
        <f>IF(D5="Modèle de planification",IF(G10-(E6*5)&lt;=0,0,G10-(E6*5)),IF(D5="Modèle de base",IF(E8-G10&lt;0,0,E8-G10),""))</f>
        <v>9679.2609780080966</v>
      </c>
      <c r="H11" s="70"/>
      <c r="I11" s="69"/>
      <c r="J11" s="74" t="str">
        <f>IF(D5="Modèle de planification","Taux de surlivraison en modèle planification","")</f>
        <v/>
      </c>
      <c r="K11" s="66" t="str">
        <f>IF(D5="Modèle de planification",IF(F11&gt;0,F11/(E6*5),0),"")</f>
        <v/>
      </c>
    </row>
    <row r="12" spans="1:11" ht="13.5" customHeight="1" thickBot="1" x14ac:dyDescent="0.3">
      <c r="H12" s="70"/>
      <c r="I12" s="69"/>
      <c r="J12" s="74" t="str">
        <f>IF(D5="Modèle de base","Supplément de prix pour diminution de la quantité produit en modèle de base [Fr./kg]",IF(D5="Modèle de planification","Diminution de prix pour surlivraison en modèle planification [Fr./kg]"))</f>
        <v>Supplément de prix pour diminution de la quantité produit en modèle de base [Fr./kg]</v>
      </c>
      <c r="K12" s="75">
        <f>IF(D5="Modèle de planification",-K11*(K7-K8),IF(D5="Modèle de base",IF(K10&lt;=-0.1,0.04,IF(K10&lt;=-0.05,0.02,0))))</f>
        <v>0.02</v>
      </c>
    </row>
    <row r="13" spans="1:11" ht="13.5" customHeight="1" thickTop="1" thickBot="1" x14ac:dyDescent="0.3">
      <c r="C13" s="78"/>
      <c r="G13" s="75"/>
      <c r="J13" s="74" t="str">
        <f>IF(D5="Modèle de planification","Prix du lait après éventuelles réductions pour surlivraisons [Fr./kg]",IF(D5="Modèle de base","Prix du lait après mesures volontaire de réduction [Fr./kg]"))</f>
        <v>Prix du lait après mesures volontaire de réduction [Fr./kg]</v>
      </c>
      <c r="K13" s="76">
        <f>IF(D5="Modèle de base",SUM(K6,K12),IF(D5="Modèle de planification",SUM(K7,K12)))</f>
        <v>0.86943999999999999</v>
      </c>
    </row>
    <row r="14" spans="1:11" ht="4.5" customHeight="1" thickTop="1" x14ac:dyDescent="0.25"/>
    <row r="15" spans="1:11" ht="15" customHeight="1" x14ac:dyDescent="0.25">
      <c r="A15" s="105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4.5" customHeight="1" x14ac:dyDescent="0.25"/>
    <row r="17" spans="1:11" x14ac:dyDescent="0.25">
      <c r="A17" s="104" t="s">
        <v>12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ht="13.5" customHeight="1" x14ac:dyDescent="0.25">
      <c r="A18" t="s">
        <v>13</v>
      </c>
      <c r="F18" s="30">
        <f>'Simulation A1'!F18</f>
        <v>7.3</v>
      </c>
      <c r="H18" s="100"/>
      <c r="I18" s="100"/>
      <c r="J18" s="100"/>
      <c r="K18" s="100"/>
    </row>
    <row r="19" spans="1:11" ht="13.5" customHeight="1" x14ac:dyDescent="0.25">
      <c r="A19" t="s">
        <v>14</v>
      </c>
      <c r="F19" s="30">
        <f>'Simulation A1'!F19</f>
        <v>144</v>
      </c>
      <c r="H19" s="100"/>
      <c r="I19" s="100"/>
      <c r="J19" s="100"/>
      <c r="K19" s="100"/>
    </row>
    <row r="20" spans="1:11" ht="13.5" customHeight="1" x14ac:dyDescent="0.25">
      <c r="A20" t="s">
        <v>15</v>
      </c>
      <c r="F20" s="82">
        <v>43</v>
      </c>
      <c r="G20" s="85" t="s">
        <v>16</v>
      </c>
      <c r="H20" s="100"/>
      <c r="I20" s="100"/>
      <c r="J20" s="100"/>
      <c r="K20" s="100"/>
    </row>
    <row r="21" spans="1:11" ht="13.5" customHeight="1" x14ac:dyDescent="0.25">
      <c r="A21" t="s">
        <v>17</v>
      </c>
      <c r="F21" s="2">
        <f>F20/150</f>
        <v>0.28666666666666668</v>
      </c>
      <c r="H21" s="100"/>
      <c r="I21" s="100"/>
      <c r="J21" s="100"/>
      <c r="K21" s="100"/>
    </row>
    <row r="22" spans="1:11" ht="13.5" customHeight="1" x14ac:dyDescent="0.25">
      <c r="A22" t="s">
        <v>18</v>
      </c>
      <c r="E22" s="3"/>
      <c r="F22">
        <v>45</v>
      </c>
      <c r="H22" s="100"/>
      <c r="I22" s="100"/>
      <c r="J22" s="100"/>
      <c r="K22" s="100"/>
    </row>
    <row r="23" spans="1:11" ht="13.5" customHeight="1" x14ac:dyDescent="0.25">
      <c r="A23" t="s">
        <v>19</v>
      </c>
      <c r="D23" s="5"/>
      <c r="F23" s="3">
        <f>F20*F18/3.14</f>
        <v>99.968152866242022</v>
      </c>
    </row>
    <row r="24" spans="1:11" ht="13.5" customHeight="1" x14ac:dyDescent="0.25">
      <c r="A24" t="s">
        <v>20</v>
      </c>
      <c r="F24" s="2">
        <f>F23/150</f>
        <v>0.66645435244161344</v>
      </c>
    </row>
    <row r="25" spans="1:11" ht="4.5" customHeight="1" x14ac:dyDescent="0.25">
      <c r="D25" s="2"/>
      <c r="E25" s="28"/>
    </row>
    <row r="26" spans="1:11" ht="15.75" thickBot="1" x14ac:dyDescent="0.3">
      <c r="A26" s="104" t="s">
        <v>21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1" ht="13.5" customHeight="1" thickBot="1" x14ac:dyDescent="0.3">
      <c r="A27" t="s">
        <v>22</v>
      </c>
      <c r="D27" s="2"/>
      <c r="E27" s="79">
        <f>(F23*F22)</f>
        <v>4498.5668789808906</v>
      </c>
    </row>
    <row r="28" spans="1:11" ht="4.9000000000000004" customHeight="1" x14ac:dyDescent="0.25">
      <c r="D28" s="2"/>
      <c r="E28" s="3"/>
    </row>
    <row r="29" spans="1:11" x14ac:dyDescent="0.25">
      <c r="A29" s="104" t="s">
        <v>23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1" ht="4.9000000000000004" customHeight="1" x14ac:dyDescent="0.25"/>
    <row r="31" spans="1:11" ht="30" customHeight="1" x14ac:dyDescent="0.25">
      <c r="A31" s="109" t="s">
        <v>24</v>
      </c>
      <c r="B31" s="110"/>
      <c r="C31" s="88" t="s">
        <v>25</v>
      </c>
      <c r="D31" s="88" t="s">
        <v>26</v>
      </c>
      <c r="E31" s="88" t="s">
        <v>27</v>
      </c>
      <c r="F31" s="88" t="s">
        <v>28</v>
      </c>
      <c r="G31" s="124" t="s">
        <v>29</v>
      </c>
      <c r="H31" s="124"/>
      <c r="I31" s="120" t="s">
        <v>30</v>
      </c>
      <c r="J31" s="121"/>
    </row>
    <row r="32" spans="1:11" ht="13.5" customHeight="1" x14ac:dyDescent="0.25">
      <c r="A32" s="107" t="s">
        <v>31</v>
      </c>
      <c r="B32" s="108"/>
      <c r="C32" s="8">
        <f>-F20*F22/100</f>
        <v>-19.350000000000001</v>
      </c>
      <c r="D32" s="86" t="s">
        <v>32</v>
      </c>
      <c r="E32" s="8">
        <f>F19</f>
        <v>144</v>
      </c>
      <c r="F32" s="4">
        <f>-C32*E32</f>
        <v>2786.4</v>
      </c>
      <c r="G32" s="122">
        <f>F32/$G$10</f>
        <v>2.3649486695885541E-2</v>
      </c>
      <c r="H32" s="122"/>
      <c r="I32" s="122">
        <f>IFERROR(F32/E27,0)</f>
        <v>0.61939726027397279</v>
      </c>
      <c r="J32" s="122"/>
    </row>
    <row r="33" spans="1:11" ht="13.5" customHeight="1" x14ac:dyDescent="0.25">
      <c r="A33" s="107" t="s">
        <v>33</v>
      </c>
      <c r="B33" s="108"/>
      <c r="C33" s="13">
        <f>-E27</f>
        <v>-4498.5668789808906</v>
      </c>
      <c r="D33" s="86" t="s">
        <v>34</v>
      </c>
      <c r="E33" s="87">
        <f>K13</f>
        <v>0.86943999999999999</v>
      </c>
      <c r="F33" s="4">
        <f>C33*E33</f>
        <v>-3911.2339872611456</v>
      </c>
      <c r="G33" s="122">
        <f>F33/$G$10</f>
        <v>-3.3196481533960605E-2</v>
      </c>
      <c r="H33" s="122"/>
      <c r="I33" s="122">
        <f>IFERROR(F33/E27,0)</f>
        <v>-0.86943999999999999</v>
      </c>
      <c r="J33" s="122"/>
    </row>
    <row r="34" spans="1:11" ht="4.9000000000000004" customHeight="1" thickBot="1" x14ac:dyDescent="0.3">
      <c r="F34" s="5"/>
      <c r="G34" s="5"/>
      <c r="I34" s="5"/>
    </row>
    <row r="35" spans="1:11" ht="13.5" customHeight="1" thickTop="1" thickBot="1" x14ac:dyDescent="0.3">
      <c r="A35" s="1" t="s">
        <v>35</v>
      </c>
      <c r="B35" s="1"/>
      <c r="F35" s="6">
        <f>SUM(F32:F33)</f>
        <v>-1124.8339872611455</v>
      </c>
      <c r="G35" s="111">
        <f>SUM(G32:G33)</f>
        <v>-9.5469948380750638E-3</v>
      </c>
      <c r="H35" s="112"/>
      <c r="I35" s="111">
        <f>SUM(I32:I33)</f>
        <v>-0.2500427397260272</v>
      </c>
      <c r="J35" s="112"/>
    </row>
    <row r="36" spans="1:11" ht="4.9000000000000004" customHeight="1" thickTop="1" x14ac:dyDescent="0.25"/>
    <row r="37" spans="1:11" x14ac:dyDescent="0.25">
      <c r="A37" s="105" t="s">
        <v>36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1" ht="4.5" customHeight="1" x14ac:dyDescent="0.25"/>
    <row r="39" spans="1:11" x14ac:dyDescent="0.25">
      <c r="A39" s="104" t="s">
        <v>12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ht="4.9000000000000004" customHeight="1" x14ac:dyDescent="0.25"/>
    <row r="41" spans="1:11" x14ac:dyDescent="0.25">
      <c r="A41" s="23" t="s">
        <v>37</v>
      </c>
      <c r="B41" s="24"/>
      <c r="C41" s="24"/>
      <c r="D41" s="24"/>
      <c r="E41" s="24"/>
      <c r="F41" s="24"/>
      <c r="G41" s="24"/>
      <c r="H41" s="24"/>
      <c r="I41" s="24"/>
    </row>
    <row r="42" spans="1:11" ht="4.9000000000000004" customHeight="1" x14ac:dyDescent="0.25"/>
    <row r="43" spans="1:11" ht="13.5" customHeight="1" x14ac:dyDescent="0.25">
      <c r="A43" s="9" t="s">
        <v>38</v>
      </c>
      <c r="B43" s="9"/>
      <c r="C43" s="106" t="s">
        <v>39</v>
      </c>
      <c r="D43" s="106"/>
      <c r="E43" s="9" t="s">
        <v>40</v>
      </c>
      <c r="F43" s="106" t="s">
        <v>41</v>
      </c>
      <c r="G43" s="106"/>
    </row>
    <row r="44" spans="1:11" ht="13.5" customHeight="1" x14ac:dyDescent="0.25">
      <c r="A44" s="8" t="s">
        <v>42</v>
      </c>
      <c r="B44" s="8"/>
      <c r="C44" s="103">
        <v>16.600000000000001</v>
      </c>
      <c r="D44" s="103"/>
      <c r="E44" s="32">
        <v>0.15</v>
      </c>
      <c r="F44" s="102">
        <f>IFERROR(C44/E44,"")</f>
        <v>110.66666666666669</v>
      </c>
      <c r="G44" s="102"/>
    </row>
    <row r="45" spans="1:11" ht="13.5" customHeight="1" x14ac:dyDescent="0.25">
      <c r="A45" s="107" t="s">
        <v>43</v>
      </c>
      <c r="B45" s="108"/>
      <c r="C45" s="103">
        <v>15.32</v>
      </c>
      <c r="D45" s="103"/>
      <c r="E45" s="32">
        <v>0.88</v>
      </c>
      <c r="F45" s="102">
        <f>IFERROR(C45/E45,"")</f>
        <v>17.40909090909091</v>
      </c>
      <c r="G45" s="102"/>
    </row>
    <row r="46" spans="1:11" ht="13.5" customHeight="1" x14ac:dyDescent="0.25">
      <c r="A46" s="8" t="s">
        <v>44</v>
      </c>
      <c r="B46" s="8"/>
      <c r="C46" s="103">
        <v>23.1</v>
      </c>
      <c r="D46" s="103"/>
      <c r="E46" s="32">
        <v>0.3</v>
      </c>
      <c r="F46" s="102">
        <f>IFERROR(C46/E46,"")</f>
        <v>77.000000000000014</v>
      </c>
      <c r="G46" s="102"/>
    </row>
    <row r="47" spans="1:11" ht="13.5" customHeight="1" x14ac:dyDescent="0.25">
      <c r="A47" s="8" t="s">
        <v>45</v>
      </c>
      <c r="B47" s="8"/>
      <c r="C47" s="103">
        <v>11.68</v>
      </c>
      <c r="D47" s="103"/>
      <c r="E47" s="32">
        <v>0.32</v>
      </c>
      <c r="F47" s="102">
        <f>IFERROR(C47/E47,"")</f>
        <v>36.5</v>
      </c>
      <c r="G47" s="102"/>
    </row>
    <row r="48" spans="1:11" ht="13.5" customHeight="1" x14ac:dyDescent="0.25">
      <c r="A48" s="115" t="s">
        <v>46</v>
      </c>
      <c r="B48" s="116"/>
      <c r="C48" s="103"/>
      <c r="D48" s="103"/>
      <c r="E48" s="32"/>
      <c r="F48" s="102" t="str">
        <f>IFERROR(C48/E48,"")</f>
        <v/>
      </c>
      <c r="G48" s="102"/>
    </row>
    <row r="49" spans="1:11" ht="13.5" customHeight="1" x14ac:dyDescent="0.25">
      <c r="A49" s="1" t="s">
        <v>47</v>
      </c>
      <c r="B49" s="1"/>
      <c r="C49" s="117">
        <f>SUM(C44:D48)</f>
        <v>66.7</v>
      </c>
      <c r="D49" s="117"/>
      <c r="E49" s="1"/>
      <c r="F49" s="118">
        <f>SUM(F44:G48)</f>
        <v>241.57575757575762</v>
      </c>
      <c r="G49" s="118"/>
    </row>
    <row r="50" spans="1:11" ht="4.9000000000000004" customHeight="1" x14ac:dyDescent="0.25"/>
    <row r="51" spans="1:11" x14ac:dyDescent="0.25">
      <c r="A51" s="23" t="s">
        <v>48</v>
      </c>
      <c r="B51" s="24"/>
      <c r="C51" s="24"/>
      <c r="D51" s="24"/>
      <c r="E51" s="24"/>
      <c r="F51" s="24"/>
      <c r="G51" s="24"/>
      <c r="H51" s="24"/>
      <c r="I51" s="24"/>
    </row>
    <row r="52" spans="1:11" ht="13.5" customHeight="1" x14ac:dyDescent="0.25">
      <c r="A52" t="s">
        <v>49</v>
      </c>
      <c r="D52" s="31">
        <f>'Simulation A1'!D52</f>
        <v>3200</v>
      </c>
    </row>
    <row r="53" spans="1:11" ht="13.5" customHeight="1" x14ac:dyDescent="0.25">
      <c r="A53" t="s">
        <v>50</v>
      </c>
      <c r="D53" s="31">
        <f>'Simulation A1'!D53</f>
        <v>3300</v>
      </c>
    </row>
    <row r="54" spans="1:11" ht="13.5" customHeight="1" x14ac:dyDescent="0.25">
      <c r="A54" t="s">
        <v>51</v>
      </c>
      <c r="D54" s="31">
        <f>'Simulation A1'!D54</f>
        <v>650</v>
      </c>
    </row>
    <row r="55" spans="1:11" ht="13.5" customHeight="1" x14ac:dyDescent="0.25">
      <c r="A55" t="s">
        <v>52</v>
      </c>
      <c r="D55" s="33">
        <v>3.5</v>
      </c>
      <c r="F55" t="s">
        <v>53</v>
      </c>
      <c r="K55" s="43">
        <f>VLOOKUP(D56,'Solde de lait à traire'!$A$4:$B$47,2,FALSE)/100</f>
        <v>0.35438487128960106</v>
      </c>
    </row>
    <row r="56" spans="1:11" ht="13.5" customHeight="1" x14ac:dyDescent="0.25">
      <c r="A56" t="s">
        <v>54</v>
      </c>
      <c r="D56" s="31">
        <v>25</v>
      </c>
      <c r="F56" t="s">
        <v>55</v>
      </c>
      <c r="K56" s="43">
        <f>(44-D56)/44</f>
        <v>0.43181818181818182</v>
      </c>
    </row>
    <row r="57" spans="1:11" ht="13.5" customHeight="1" x14ac:dyDescent="0.25">
      <c r="A57" t="s">
        <v>56</v>
      </c>
      <c r="I57" s="83">
        <v>1</v>
      </c>
      <c r="J57" s="85" t="s">
        <v>16</v>
      </c>
    </row>
    <row r="58" spans="1:11" ht="4.9000000000000004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</row>
    <row r="59" spans="1:11" x14ac:dyDescent="0.25">
      <c r="A59" s="23" t="s">
        <v>57</v>
      </c>
      <c r="B59" s="24"/>
      <c r="C59" s="24"/>
      <c r="D59" s="24"/>
      <c r="E59" s="24"/>
      <c r="F59" s="24"/>
      <c r="G59" s="24"/>
      <c r="H59" s="24"/>
      <c r="I59" s="24"/>
    </row>
    <row r="60" spans="1:11" ht="4.9000000000000004" customHeight="1" x14ac:dyDescent="0.25"/>
    <row r="61" spans="1:11" s="47" customFormat="1" ht="60" x14ac:dyDescent="0.25">
      <c r="A61" s="139"/>
      <c r="B61" s="139"/>
      <c r="C61" s="139"/>
      <c r="D61" s="45" t="s">
        <v>25</v>
      </c>
      <c r="E61" s="46" t="s">
        <v>26</v>
      </c>
      <c r="F61" s="45" t="s">
        <v>58</v>
      </c>
      <c r="G61" s="45" t="s">
        <v>59</v>
      </c>
      <c r="H61" s="45" t="s">
        <v>60</v>
      </c>
      <c r="I61" s="46" t="s">
        <v>61</v>
      </c>
      <c r="J61"/>
    </row>
    <row r="62" spans="1:11" ht="13.5" customHeight="1" x14ac:dyDescent="0.25">
      <c r="A62" s="17" t="s">
        <v>62</v>
      </c>
      <c r="B62" s="18"/>
      <c r="C62" s="19"/>
      <c r="D62" s="34">
        <f>'Simulation A1'!D62</f>
        <v>7000</v>
      </c>
      <c r="E62" s="8" t="s">
        <v>63</v>
      </c>
      <c r="F62" s="12">
        <f>K13</f>
        <v>0.86943999999999999</v>
      </c>
      <c r="G62" s="13">
        <f>D62*F62</f>
        <v>6086.08</v>
      </c>
      <c r="H62" s="44">
        <f>$K$55</f>
        <v>0.35438487128960106</v>
      </c>
      <c r="I62" s="13">
        <f>-G62*H62</f>
        <v>-2156.8146774582151</v>
      </c>
    </row>
    <row r="63" spans="1:11" ht="13.5" customHeight="1" x14ac:dyDescent="0.25">
      <c r="A63" s="17" t="s">
        <v>64</v>
      </c>
      <c r="B63" s="18"/>
      <c r="C63" s="19"/>
      <c r="D63" s="26">
        <f>1/D55</f>
        <v>0.2857142857142857</v>
      </c>
      <c r="E63" s="8" t="s">
        <v>65</v>
      </c>
      <c r="F63" s="27">
        <f>D52</f>
        <v>3200</v>
      </c>
      <c r="G63" s="13">
        <f>D63*F63</f>
        <v>914.28571428571422</v>
      </c>
      <c r="H63" s="44">
        <v>0</v>
      </c>
      <c r="I63" s="13">
        <f t="shared" ref="I63:I66" si="0">-G63*H63</f>
        <v>0</v>
      </c>
    </row>
    <row r="64" spans="1:11" ht="13.5" customHeight="1" x14ac:dyDescent="0.25">
      <c r="A64" s="17" t="s">
        <v>66</v>
      </c>
      <c r="B64" s="18"/>
      <c r="C64" s="19"/>
      <c r="D64" s="35">
        <v>0.95</v>
      </c>
      <c r="E64" s="8" t="s">
        <v>67</v>
      </c>
      <c r="F64" s="27">
        <f>D54</f>
        <v>650</v>
      </c>
      <c r="G64" s="13">
        <f>D64*F64</f>
        <v>617.5</v>
      </c>
      <c r="H64" s="44">
        <v>0</v>
      </c>
      <c r="I64" s="13">
        <f t="shared" si="0"/>
        <v>0</v>
      </c>
    </row>
    <row r="65" spans="1:10" ht="13.5" customHeight="1" x14ac:dyDescent="0.25">
      <c r="A65" s="17" t="s">
        <v>68</v>
      </c>
      <c r="B65" s="18"/>
      <c r="C65" s="19"/>
      <c r="D65" s="26">
        <f>D63</f>
        <v>0.2857142857142857</v>
      </c>
      <c r="E65" s="8" t="s">
        <v>69</v>
      </c>
      <c r="F65" s="27">
        <f>D53</f>
        <v>3300</v>
      </c>
      <c r="G65" s="13">
        <f>-D65*F65</f>
        <v>-942.85714285714278</v>
      </c>
      <c r="H65" s="44">
        <v>0</v>
      </c>
      <c r="I65" s="13">
        <f t="shared" si="0"/>
        <v>0</v>
      </c>
    </row>
    <row r="66" spans="1:10" ht="13.5" customHeight="1" x14ac:dyDescent="0.25">
      <c r="A66" s="17" t="s">
        <v>31</v>
      </c>
      <c r="B66" s="18"/>
      <c r="C66" s="19"/>
      <c r="D66" s="14"/>
      <c r="E66" s="14"/>
      <c r="F66" s="14"/>
      <c r="G66" s="13">
        <f>SUM(G67:G71)</f>
        <v>-596.07999999999993</v>
      </c>
      <c r="H66" s="44">
        <f>$K$55</f>
        <v>0.35438487128960106</v>
      </c>
      <c r="I66" s="13">
        <f t="shared" si="0"/>
        <v>211.24173407830537</v>
      </c>
    </row>
    <row r="67" spans="1:10" s="7" customFormat="1" ht="13.5" customHeight="1" x14ac:dyDescent="0.25">
      <c r="A67" s="20" t="s">
        <v>70</v>
      </c>
      <c r="B67" s="21"/>
      <c r="C67" s="22"/>
      <c r="D67" s="36">
        <f>'Simulation A1'!D67</f>
        <v>0</v>
      </c>
      <c r="E67" s="8" t="s">
        <v>63</v>
      </c>
      <c r="F67" s="37">
        <f>'Simulation A1'!F67</f>
        <v>0</v>
      </c>
      <c r="G67" s="15">
        <f>-D67*F67</f>
        <v>0</v>
      </c>
      <c r="H67" s="14"/>
      <c r="I67" s="14"/>
      <c r="J67"/>
    </row>
    <row r="68" spans="1:10" s="7" customFormat="1" ht="13.5" customHeight="1" x14ac:dyDescent="0.25">
      <c r="A68" s="20" t="s">
        <v>71</v>
      </c>
      <c r="B68" s="21"/>
      <c r="C68" s="22"/>
      <c r="D68" s="36">
        <f>'Simulation A1'!D68</f>
        <v>206</v>
      </c>
      <c r="E68" s="8" t="s">
        <v>63</v>
      </c>
      <c r="F68" s="37">
        <f>'Simulation A1'!F68</f>
        <v>1.1399999999999999</v>
      </c>
      <c r="G68" s="15">
        <f>-D68*F68</f>
        <v>-234.83999999999997</v>
      </c>
      <c r="H68" s="14"/>
      <c r="I68" s="14"/>
      <c r="J68"/>
    </row>
    <row r="69" spans="1:10" s="7" customFormat="1" ht="13.5" customHeight="1" x14ac:dyDescent="0.25">
      <c r="A69" s="20" t="s">
        <v>72</v>
      </c>
      <c r="B69" s="21"/>
      <c r="C69" s="22"/>
      <c r="D69" s="36">
        <f>'Simulation A1'!D69</f>
        <v>173</v>
      </c>
      <c r="E69" s="8" t="s">
        <v>63</v>
      </c>
      <c r="F69" s="99">
        <f>'Simulation A1'!F69</f>
        <v>1.38</v>
      </c>
      <c r="G69" s="15">
        <f>-D69*F69</f>
        <v>-238.73999999999998</v>
      </c>
      <c r="H69" s="14"/>
      <c r="I69" s="14"/>
      <c r="J69"/>
    </row>
    <row r="70" spans="1:10" s="7" customFormat="1" ht="13.5" customHeight="1" x14ac:dyDescent="0.25">
      <c r="A70" s="20" t="s">
        <v>73</v>
      </c>
      <c r="B70" s="21"/>
      <c r="C70" s="22"/>
      <c r="D70" s="36">
        <f>'Simulation A1'!D70</f>
        <v>45</v>
      </c>
      <c r="E70" s="8" t="s">
        <v>63</v>
      </c>
      <c r="F70" s="37">
        <f>'Simulation A1'!F70</f>
        <v>2.5</v>
      </c>
      <c r="G70" s="15">
        <f>-D70*F70</f>
        <v>-112.5</v>
      </c>
      <c r="H70" s="14"/>
      <c r="I70" s="14"/>
      <c r="J70"/>
    </row>
    <row r="71" spans="1:10" s="7" customFormat="1" ht="13.5" customHeight="1" x14ac:dyDescent="0.25">
      <c r="A71" s="20" t="s">
        <v>74</v>
      </c>
      <c r="B71" s="21"/>
      <c r="C71" s="22"/>
      <c r="D71" s="36">
        <v>20</v>
      </c>
      <c r="E71" s="8" t="s">
        <v>63</v>
      </c>
      <c r="F71" s="37">
        <v>0.5</v>
      </c>
      <c r="G71" s="15">
        <f>-D71*F71</f>
        <v>-10</v>
      </c>
      <c r="H71" s="14"/>
      <c r="I71" s="14"/>
      <c r="J71"/>
    </row>
    <row r="72" spans="1:10" ht="13.5" customHeight="1" x14ac:dyDescent="0.25">
      <c r="A72" s="17" t="s">
        <v>75</v>
      </c>
      <c r="B72" s="18"/>
      <c r="C72" s="19"/>
      <c r="D72" s="14"/>
      <c r="E72" s="14"/>
      <c r="F72" s="14"/>
      <c r="G72" s="38">
        <f>'Simulation A1'!G72</f>
        <v>-140</v>
      </c>
      <c r="H72" s="44">
        <f>$K$56</f>
        <v>0.43181818181818182</v>
      </c>
      <c r="I72" s="13">
        <f t="shared" ref="I72:I76" si="1">-G72*H72</f>
        <v>60.454545454545453</v>
      </c>
    </row>
    <row r="73" spans="1:10" ht="13.5" customHeight="1" x14ac:dyDescent="0.25">
      <c r="A73" s="17" t="s">
        <v>76</v>
      </c>
      <c r="B73" s="18"/>
      <c r="C73" s="19"/>
      <c r="D73" s="14"/>
      <c r="E73" s="14"/>
      <c r="F73" s="14"/>
      <c r="G73" s="38">
        <f>'Simulation A1'!G73</f>
        <v>-128</v>
      </c>
      <c r="H73" s="44">
        <v>0</v>
      </c>
      <c r="I73" s="13">
        <f t="shared" si="1"/>
        <v>0</v>
      </c>
    </row>
    <row r="74" spans="1:10" ht="13.5" customHeight="1" x14ac:dyDescent="0.25">
      <c r="A74" s="17" t="s">
        <v>77</v>
      </c>
      <c r="B74" s="18"/>
      <c r="C74" s="19"/>
      <c r="D74" s="14"/>
      <c r="E74" s="14"/>
      <c r="F74" s="14"/>
      <c r="G74" s="38">
        <v>-133</v>
      </c>
      <c r="H74" s="44">
        <f>$K$56</f>
        <v>0.43181818181818182</v>
      </c>
      <c r="I74" s="13">
        <f t="shared" si="1"/>
        <v>57.43181818181818</v>
      </c>
    </row>
    <row r="75" spans="1:10" ht="13.5" customHeight="1" x14ac:dyDescent="0.25">
      <c r="A75" s="17" t="s">
        <v>78</v>
      </c>
      <c r="B75" s="18"/>
      <c r="C75" s="19"/>
      <c r="D75" s="14"/>
      <c r="E75" s="14"/>
      <c r="F75" s="14"/>
      <c r="G75" s="38">
        <v>-34</v>
      </c>
      <c r="H75" s="44">
        <f>$K$56</f>
        <v>0.43181818181818182</v>
      </c>
      <c r="I75" s="13">
        <f t="shared" si="1"/>
        <v>14.681818181818182</v>
      </c>
    </row>
    <row r="76" spans="1:10" ht="13.5" customHeight="1" x14ac:dyDescent="0.25">
      <c r="A76" s="17" t="s">
        <v>79</v>
      </c>
      <c r="B76" s="18"/>
      <c r="C76" s="19"/>
      <c r="D76" s="14"/>
      <c r="E76" s="14"/>
      <c r="F76" s="14"/>
      <c r="G76" s="13">
        <f>SUM(G77:G79)</f>
        <v>265</v>
      </c>
      <c r="H76" s="44">
        <f>$K$56</f>
        <v>0.43181818181818182</v>
      </c>
      <c r="I76" s="13">
        <f t="shared" si="1"/>
        <v>-114.43181818181819</v>
      </c>
    </row>
    <row r="77" spans="1:10" s="7" customFormat="1" ht="13.5" customHeight="1" x14ac:dyDescent="0.25">
      <c r="A77" s="20" t="s">
        <v>80</v>
      </c>
      <c r="B77" s="21"/>
      <c r="C77" s="22"/>
      <c r="D77" s="36">
        <v>1</v>
      </c>
      <c r="E77" s="16" t="s">
        <v>65</v>
      </c>
      <c r="F77" s="37">
        <v>190</v>
      </c>
      <c r="G77" s="15">
        <f>D77*F77</f>
        <v>190</v>
      </c>
      <c r="H77" s="14"/>
      <c r="I77" s="14"/>
      <c r="J77"/>
    </row>
    <row r="78" spans="1:10" s="7" customFormat="1" ht="13.5" customHeight="1" x14ac:dyDescent="0.25">
      <c r="A78" s="20" t="s">
        <v>81</v>
      </c>
      <c r="B78" s="21"/>
      <c r="C78" s="22"/>
      <c r="D78" s="36"/>
      <c r="E78" s="16" t="s">
        <v>65</v>
      </c>
      <c r="F78" s="37">
        <v>350</v>
      </c>
      <c r="G78" s="15">
        <f>D78*F78</f>
        <v>0</v>
      </c>
      <c r="H78" s="14"/>
      <c r="I78" s="14"/>
      <c r="J78"/>
    </row>
    <row r="79" spans="1:10" s="7" customFormat="1" ht="13.5" customHeight="1" x14ac:dyDescent="0.25">
      <c r="A79" s="20" t="s">
        <v>82</v>
      </c>
      <c r="B79" s="21"/>
      <c r="C79" s="22"/>
      <c r="D79" s="36">
        <v>1</v>
      </c>
      <c r="E79" s="16" t="s">
        <v>65</v>
      </c>
      <c r="F79" s="37">
        <v>75</v>
      </c>
      <c r="G79" s="15">
        <f>D79*F79</f>
        <v>75</v>
      </c>
      <c r="H79" s="14"/>
      <c r="I79" s="14"/>
      <c r="J79"/>
    </row>
    <row r="80" spans="1:10" ht="13.5" customHeight="1" x14ac:dyDescent="0.25">
      <c r="A80" s="17" t="s">
        <v>38</v>
      </c>
      <c r="B80" s="18"/>
      <c r="C80" s="19"/>
      <c r="D80" s="14"/>
      <c r="E80" s="14"/>
      <c r="F80" s="14"/>
      <c r="G80" s="13">
        <f>SUM(G81:G83)</f>
        <v>-1732.7242424242427</v>
      </c>
      <c r="H80" s="44">
        <f>$K$56</f>
        <v>0.43181818181818182</v>
      </c>
      <c r="I80" s="13">
        <f t="shared" ref="I80" si="2">-G80*H80</f>
        <v>748.22183195592299</v>
      </c>
    </row>
    <row r="81" spans="1:11" s="7" customFormat="1" ht="13.5" customHeight="1" x14ac:dyDescent="0.25">
      <c r="A81" s="20" t="str">
        <f>CONCATENATE("   ",A44)</f>
        <v xml:space="preserve">   Herbe au pâturage</v>
      </c>
      <c r="B81" s="21"/>
      <c r="C81" s="22"/>
      <c r="D81" s="39">
        <f>F44</f>
        <v>110.66666666666669</v>
      </c>
      <c r="E81" s="16" t="s">
        <v>83</v>
      </c>
      <c r="F81" s="37">
        <v>1.1000000000000001</v>
      </c>
      <c r="G81" s="15">
        <f>IFERROR(-D81*F81,"")</f>
        <v>-121.73333333333336</v>
      </c>
      <c r="H81" s="14"/>
      <c r="I81" s="14"/>
      <c r="J81"/>
    </row>
    <row r="82" spans="1:11" s="7" customFormat="1" ht="13.5" customHeight="1" x14ac:dyDescent="0.25">
      <c r="A82" s="20" t="str">
        <f>CONCATENATE("   ",A45)</f>
        <v xml:space="preserve">   Foin</v>
      </c>
      <c r="B82" s="21"/>
      <c r="C82" s="22"/>
      <c r="D82" s="39">
        <f>F45</f>
        <v>17.40909090909091</v>
      </c>
      <c r="E82" s="16" t="s">
        <v>83</v>
      </c>
      <c r="F82" s="37">
        <f>'Simulation A1'!F82</f>
        <v>43</v>
      </c>
      <c r="G82" s="15">
        <f t="shared" ref="G82:G85" si="3">IFERROR(-D82*F82,"")</f>
        <v>-748.59090909090912</v>
      </c>
      <c r="H82" s="14"/>
      <c r="I82" s="14"/>
      <c r="J82"/>
    </row>
    <row r="83" spans="1:11" s="7" customFormat="1" ht="13.5" customHeight="1" x14ac:dyDescent="0.25">
      <c r="A83" s="20" t="str">
        <f>CONCATENATE("   ",A46)</f>
        <v xml:space="preserve">   Ensilage d'herbe</v>
      </c>
      <c r="B83" s="21"/>
      <c r="C83" s="22"/>
      <c r="D83" s="39">
        <f>F46</f>
        <v>77.000000000000014</v>
      </c>
      <c r="E83" s="16" t="s">
        <v>83</v>
      </c>
      <c r="F83" s="37">
        <f>'Simulation A1'!F83</f>
        <v>11.2</v>
      </c>
      <c r="G83" s="15">
        <f t="shared" si="3"/>
        <v>-862.40000000000009</v>
      </c>
      <c r="H83" s="14"/>
      <c r="I83" s="14"/>
      <c r="J83"/>
    </row>
    <row r="84" spans="1:11" s="7" customFormat="1" ht="13.5" customHeight="1" x14ac:dyDescent="0.25">
      <c r="A84" s="20" t="str">
        <f>CONCATENATE("   ",A47)</f>
        <v xml:space="preserve">   Ensilage de maïs</v>
      </c>
      <c r="B84" s="21"/>
      <c r="C84" s="22"/>
      <c r="D84" s="39">
        <f>F47</f>
        <v>36.5</v>
      </c>
      <c r="E84" s="16" t="s">
        <v>83</v>
      </c>
      <c r="F84" s="37">
        <f>'Simulation A1'!F84</f>
        <v>13.5</v>
      </c>
      <c r="G84" s="15">
        <f t="shared" si="3"/>
        <v>-492.75</v>
      </c>
      <c r="H84" s="14"/>
      <c r="I84" s="14"/>
      <c r="J84"/>
    </row>
    <row r="85" spans="1:11" s="7" customFormat="1" ht="13.5" customHeight="1" x14ac:dyDescent="0.25">
      <c r="A85" s="20" t="str">
        <f>CONCATENATE("   ",A48)</f>
        <v xml:space="preserve">   Autre fourrage de base</v>
      </c>
      <c r="B85" s="21"/>
      <c r="C85" s="22"/>
      <c r="D85" s="39" t="str">
        <f>F48</f>
        <v/>
      </c>
      <c r="E85" s="16" t="s">
        <v>83</v>
      </c>
      <c r="F85" s="37"/>
      <c r="G85" s="15" t="str">
        <f t="shared" si="3"/>
        <v/>
      </c>
      <c r="H85" s="14"/>
      <c r="I85" s="14"/>
      <c r="J85"/>
    </row>
    <row r="86" spans="1:11" ht="13.5" customHeight="1" x14ac:dyDescent="0.25">
      <c r="A86" s="17" t="s">
        <v>84</v>
      </c>
      <c r="B86" s="18"/>
      <c r="C86" s="19"/>
      <c r="D86" s="40">
        <f>2*365/100</f>
        <v>7.3</v>
      </c>
      <c r="E86" s="8" t="s">
        <v>83</v>
      </c>
      <c r="F86" s="41">
        <f>'Simulation A1'!F86</f>
        <v>23</v>
      </c>
      <c r="G86" s="13">
        <f>-D86*F86</f>
        <v>-167.9</v>
      </c>
      <c r="H86" s="44">
        <f>$K$56</f>
        <v>0.43181818181818182</v>
      </c>
      <c r="I86" s="13">
        <f t="shared" ref="I86" si="4">-G86*H86</f>
        <v>72.502272727272725</v>
      </c>
    </row>
    <row r="87" spans="1:11" ht="13.5" customHeight="1" x14ac:dyDescent="0.25">
      <c r="A87" s="1" t="s">
        <v>47</v>
      </c>
      <c r="B87" s="1"/>
      <c r="C87" s="1"/>
      <c r="D87" s="1"/>
      <c r="E87" s="1"/>
      <c r="F87" s="1"/>
      <c r="G87" s="11">
        <f>SUM(G62:G66,G72:G76,G80,G86)</f>
        <v>4008.3043290043274</v>
      </c>
      <c r="I87" s="11">
        <f>SUM(I62:I86)</f>
        <v>-1106.7124750603502</v>
      </c>
      <c r="J87" s="11"/>
    </row>
    <row r="88" spans="1:11" ht="4.9000000000000004" customHeight="1" x14ac:dyDescent="0.25"/>
    <row r="89" spans="1:11" ht="15.75" thickBot="1" x14ac:dyDescent="0.3">
      <c r="A89" s="104" t="s">
        <v>21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</row>
    <row r="90" spans="1:11" ht="13.5" customHeight="1" thickBot="1" x14ac:dyDescent="0.3">
      <c r="A90" t="s">
        <v>22</v>
      </c>
      <c r="D90" s="2"/>
      <c r="E90" s="79">
        <f>I57*K55*D62</f>
        <v>2480.6940990272074</v>
      </c>
    </row>
    <row r="91" spans="1:11" ht="4.9000000000000004" customHeight="1" x14ac:dyDescent="0.25"/>
    <row r="92" spans="1:11" x14ac:dyDescent="0.25">
      <c r="A92" s="104" t="s">
        <v>85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</row>
    <row r="93" spans="1:11" ht="4.9000000000000004" customHeight="1" x14ac:dyDescent="0.25"/>
    <row r="94" spans="1:11" ht="30" customHeight="1" x14ac:dyDescent="0.25">
      <c r="A94" s="109" t="s">
        <v>24</v>
      </c>
      <c r="B94" s="110"/>
      <c r="C94" s="88" t="s">
        <v>25</v>
      </c>
      <c r="D94" s="88" t="s">
        <v>26</v>
      </c>
      <c r="E94" s="88" t="s">
        <v>27</v>
      </c>
      <c r="F94" s="88" t="s">
        <v>28</v>
      </c>
      <c r="G94" s="124" t="s">
        <v>29</v>
      </c>
      <c r="H94" s="124"/>
      <c r="I94" s="120" t="s">
        <v>30</v>
      </c>
      <c r="J94" s="121"/>
    </row>
    <row r="95" spans="1:11" ht="13.5" customHeight="1" x14ac:dyDescent="0.25">
      <c r="A95" s="107" t="s">
        <v>86</v>
      </c>
      <c r="B95" s="108"/>
      <c r="C95" s="89">
        <f>-I57</f>
        <v>-1</v>
      </c>
      <c r="D95" s="86" t="s">
        <v>87</v>
      </c>
      <c r="E95" s="13">
        <f>I87</f>
        <v>-1106.7124750603502</v>
      </c>
      <c r="F95" s="4">
        <f>-C95*E95</f>
        <v>-1106.7124750603502</v>
      </c>
      <c r="G95" s="122">
        <f>F95/$G$10</f>
        <v>-9.3931890450438954E-3</v>
      </c>
      <c r="H95" s="122"/>
      <c r="I95" s="122">
        <f>IFERROR(F95/E90,0)</f>
        <v>-0.44613016796159688</v>
      </c>
      <c r="J95" s="122"/>
    </row>
    <row r="96" spans="1:11" ht="4.9000000000000004" customHeight="1" thickBot="1" x14ac:dyDescent="0.3">
      <c r="F96" s="5"/>
      <c r="G96" s="90"/>
      <c r="H96" s="80"/>
      <c r="I96" s="5"/>
    </row>
    <row r="97" spans="1:11" ht="13.5" customHeight="1" thickTop="1" thickBot="1" x14ac:dyDescent="0.3">
      <c r="A97" s="1" t="s">
        <v>35</v>
      </c>
      <c r="B97" s="1"/>
      <c r="F97" s="6">
        <f>SUM(F95:F95)</f>
        <v>-1106.7124750603502</v>
      </c>
      <c r="G97" s="111">
        <f>SUM(G95:G95)</f>
        <v>-9.3931890450438954E-3</v>
      </c>
      <c r="H97" s="112"/>
      <c r="I97" s="111">
        <f>SUM(I94:I95)</f>
        <v>-0.44613016796159688</v>
      </c>
      <c r="J97" s="112"/>
    </row>
    <row r="98" spans="1:11" ht="4.9000000000000004" customHeight="1" thickTop="1" x14ac:dyDescent="0.25"/>
    <row r="99" spans="1:11" ht="4.9000000000000004" customHeight="1" x14ac:dyDescent="0.25"/>
    <row r="100" spans="1:11" x14ac:dyDescent="0.25">
      <c r="A100" s="105" t="s">
        <v>88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</row>
    <row r="101" spans="1:11" ht="4.9000000000000004" customHeight="1" x14ac:dyDescent="0.25"/>
    <row r="102" spans="1:11" x14ac:dyDescent="0.25">
      <c r="A102" s="104" t="s">
        <v>12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</row>
    <row r="103" spans="1:11" ht="4.9000000000000004" customHeight="1" x14ac:dyDescent="0.25"/>
    <row r="104" spans="1:11" x14ac:dyDescent="0.25">
      <c r="A104" s="23" t="s">
        <v>89</v>
      </c>
      <c r="B104" s="24"/>
      <c r="C104" s="24"/>
      <c r="D104" s="24"/>
      <c r="E104" s="24"/>
      <c r="F104" s="24"/>
      <c r="G104" s="24"/>
      <c r="H104" s="24"/>
      <c r="I104" s="24"/>
    </row>
    <row r="105" spans="1:11" ht="13.5" customHeight="1" x14ac:dyDescent="0.25">
      <c r="A105" t="s">
        <v>90</v>
      </c>
      <c r="D105" s="31">
        <v>126</v>
      </c>
    </row>
    <row r="106" spans="1:11" ht="13.5" customHeight="1" x14ac:dyDescent="0.25">
      <c r="A106" t="s">
        <v>91</v>
      </c>
      <c r="D106" s="33">
        <f>'Simulation A1'!D106</f>
        <v>16.3</v>
      </c>
    </row>
    <row r="107" spans="1:11" ht="13.5" customHeight="1" x14ac:dyDescent="0.25">
      <c r="A107" t="s">
        <v>92</v>
      </c>
      <c r="D107" s="31">
        <v>74</v>
      </c>
    </row>
    <row r="108" spans="1:11" ht="13.5" customHeight="1" x14ac:dyDescent="0.25">
      <c r="A108" t="s">
        <v>93</v>
      </c>
      <c r="D108" s="33">
        <f>'Simulation A1'!D108</f>
        <v>8.5</v>
      </c>
    </row>
    <row r="109" spans="1:11" ht="13.5" customHeight="1" x14ac:dyDescent="0.25">
      <c r="A109" t="s">
        <v>94</v>
      </c>
      <c r="D109" s="42">
        <v>3.5000000000000003E-2</v>
      </c>
    </row>
    <row r="110" spans="1:11" ht="4.9000000000000004" customHeight="1" x14ac:dyDescent="0.25">
      <c r="A110" s="23"/>
      <c r="B110" s="24"/>
      <c r="C110" s="24"/>
      <c r="D110" s="24"/>
      <c r="E110" s="24"/>
      <c r="F110" s="24"/>
      <c r="G110" s="24"/>
      <c r="H110" s="24"/>
      <c r="I110" s="24"/>
    </row>
    <row r="111" spans="1:11" x14ac:dyDescent="0.25">
      <c r="A111" s="23" t="s">
        <v>95</v>
      </c>
      <c r="B111" s="24"/>
      <c r="C111" s="24"/>
      <c r="D111" s="24"/>
      <c r="E111" s="24"/>
      <c r="F111" s="24"/>
      <c r="G111" s="24"/>
      <c r="H111" s="24"/>
      <c r="I111" s="24"/>
    </row>
    <row r="112" spans="1:11" ht="4.9000000000000004" customHeight="1" x14ac:dyDescent="0.25"/>
    <row r="113" spans="1:11" ht="13.5" customHeight="1" x14ac:dyDescent="0.25">
      <c r="A113" s="119"/>
      <c r="B113" s="119"/>
      <c r="C113" s="119"/>
      <c r="D113" s="10" t="s">
        <v>25</v>
      </c>
      <c r="E113" s="9" t="s">
        <v>26</v>
      </c>
      <c r="F113" s="10" t="s">
        <v>58</v>
      </c>
      <c r="G113" s="135" t="s">
        <v>96</v>
      </c>
      <c r="H113" s="136"/>
    </row>
    <row r="114" spans="1:11" ht="13.5" customHeight="1" x14ac:dyDescent="0.25">
      <c r="A114" s="17" t="s">
        <v>97</v>
      </c>
      <c r="B114" s="18"/>
      <c r="C114" s="19"/>
      <c r="D114" s="25">
        <f>D105*(1-D109)</f>
        <v>121.58999999999999</v>
      </c>
      <c r="E114" s="8" t="s">
        <v>98</v>
      </c>
      <c r="F114" s="12">
        <f>D106</f>
        <v>16.3</v>
      </c>
      <c r="G114" s="113">
        <f>D114*F114</f>
        <v>1981.9169999999999</v>
      </c>
      <c r="H114" s="114"/>
    </row>
    <row r="115" spans="1:11" ht="13.5" customHeight="1" x14ac:dyDescent="0.25">
      <c r="A115" s="17" t="s">
        <v>99</v>
      </c>
      <c r="B115" s="18"/>
      <c r="C115" s="19"/>
      <c r="D115" s="26">
        <f>D107</f>
        <v>74</v>
      </c>
      <c r="E115" s="8" t="s">
        <v>100</v>
      </c>
      <c r="F115" s="12">
        <f>D108</f>
        <v>8.5</v>
      </c>
      <c r="G115" s="113">
        <f>-D115*F115</f>
        <v>-629</v>
      </c>
      <c r="H115" s="114"/>
    </row>
    <row r="116" spans="1:11" ht="13.5" customHeight="1" x14ac:dyDescent="0.25">
      <c r="A116" s="17" t="s">
        <v>101</v>
      </c>
      <c r="B116" s="18"/>
      <c r="C116" s="19"/>
      <c r="D116" s="14"/>
      <c r="E116" s="14"/>
      <c r="F116" s="14"/>
      <c r="G116" s="113">
        <f>SUM(G117:G120)</f>
        <v>-1547.15</v>
      </c>
      <c r="H116" s="114"/>
    </row>
    <row r="117" spans="1:11" s="7" customFormat="1" ht="13.5" customHeight="1" x14ac:dyDescent="0.25">
      <c r="A117" s="20" t="s">
        <v>102</v>
      </c>
      <c r="B117" s="21"/>
      <c r="C117" s="22"/>
      <c r="D117" s="36">
        <v>1350</v>
      </c>
      <c r="E117" s="8" t="s">
        <v>63</v>
      </c>
      <c r="F117" s="29">
        <f>K7</f>
        <v>0.88900000000000001</v>
      </c>
      <c r="G117" s="113">
        <f>-D117*F117</f>
        <v>-1200.1500000000001</v>
      </c>
      <c r="H117" s="114"/>
    </row>
    <row r="118" spans="1:11" s="7" customFormat="1" ht="13.5" customHeight="1" x14ac:dyDescent="0.25">
      <c r="A118" s="20" t="s">
        <v>103</v>
      </c>
      <c r="B118" s="21"/>
      <c r="C118" s="22"/>
      <c r="D118" s="36">
        <f>'Simulation A1'!D118</f>
        <v>110</v>
      </c>
      <c r="E118" s="8" t="s">
        <v>63</v>
      </c>
      <c r="F118" s="37">
        <f>'Simulation A1'!F118</f>
        <v>3.1</v>
      </c>
      <c r="G118" s="113">
        <f>-D118*F118</f>
        <v>-341</v>
      </c>
      <c r="H118" s="114"/>
    </row>
    <row r="119" spans="1:11" s="7" customFormat="1" ht="13.5" customHeight="1" x14ac:dyDescent="0.25">
      <c r="A119" s="20" t="s">
        <v>73</v>
      </c>
      <c r="B119" s="21"/>
      <c r="C119" s="22"/>
      <c r="D119" s="36">
        <v>2</v>
      </c>
      <c r="E119" s="8" t="s">
        <v>63</v>
      </c>
      <c r="F119" s="37">
        <f>'Simulation A1'!F119</f>
        <v>2.5</v>
      </c>
      <c r="G119" s="113">
        <f>-D119*F119</f>
        <v>-5</v>
      </c>
      <c r="H119" s="114"/>
    </row>
    <row r="120" spans="1:11" s="7" customFormat="1" ht="13.5" customHeight="1" x14ac:dyDescent="0.25">
      <c r="A120" s="20" t="s">
        <v>74</v>
      </c>
      <c r="B120" s="21"/>
      <c r="C120" s="22"/>
      <c r="D120" s="36">
        <v>2</v>
      </c>
      <c r="E120" s="8" t="s">
        <v>63</v>
      </c>
      <c r="F120" s="37">
        <v>0.5</v>
      </c>
      <c r="G120" s="113">
        <f>-D120*F120</f>
        <v>-1</v>
      </c>
      <c r="H120" s="114"/>
    </row>
    <row r="121" spans="1:11" ht="13.5" customHeight="1" x14ac:dyDescent="0.25">
      <c r="A121" s="17" t="s">
        <v>75</v>
      </c>
      <c r="B121" s="18"/>
      <c r="C121" s="19"/>
      <c r="D121" s="14"/>
      <c r="E121" s="14"/>
      <c r="F121" s="14"/>
      <c r="G121" s="125">
        <v>-60</v>
      </c>
      <c r="H121" s="126"/>
    </row>
    <row r="122" spans="1:11" ht="13.5" customHeight="1" x14ac:dyDescent="0.25">
      <c r="A122" s="17" t="s">
        <v>77</v>
      </c>
      <c r="B122" s="18"/>
      <c r="C122" s="19"/>
      <c r="D122" s="14"/>
      <c r="E122" s="14"/>
      <c r="F122" s="14"/>
      <c r="G122" s="125">
        <v>-49</v>
      </c>
      <c r="H122" s="126"/>
    </row>
    <row r="123" spans="1:11" ht="13.5" customHeight="1" x14ac:dyDescent="0.25">
      <c r="A123" s="17" t="s">
        <v>78</v>
      </c>
      <c r="B123" s="18"/>
      <c r="C123" s="19"/>
      <c r="D123" s="14"/>
      <c r="E123" s="14"/>
      <c r="F123" s="14"/>
      <c r="G123" s="125"/>
      <c r="H123" s="126"/>
    </row>
    <row r="124" spans="1:11" ht="13.5" customHeight="1" x14ac:dyDescent="0.25">
      <c r="A124" s="17" t="s">
        <v>43</v>
      </c>
      <c r="B124" s="18"/>
      <c r="C124" s="19"/>
      <c r="D124" s="40">
        <f>0.4/0.88</f>
        <v>0.45454545454545459</v>
      </c>
      <c r="E124" s="8" t="s">
        <v>83</v>
      </c>
      <c r="F124" s="41">
        <f>'Simulation A1'!F124</f>
        <v>43</v>
      </c>
      <c r="G124" s="113">
        <f>-D124*F124</f>
        <v>-19.545454545454547</v>
      </c>
      <c r="H124" s="114"/>
    </row>
    <row r="125" spans="1:11" ht="13.5" customHeight="1" x14ac:dyDescent="0.25">
      <c r="A125" s="17" t="s">
        <v>84</v>
      </c>
      <c r="B125" s="18"/>
      <c r="C125" s="19"/>
      <c r="D125" s="40">
        <v>2</v>
      </c>
      <c r="E125" s="8" t="s">
        <v>83</v>
      </c>
      <c r="F125" s="41">
        <f>'Simulation A1'!F125</f>
        <v>23</v>
      </c>
      <c r="G125" s="113">
        <f>-D125*F125</f>
        <v>-46</v>
      </c>
      <c r="H125" s="114"/>
    </row>
    <row r="126" spans="1:11" x14ac:dyDescent="0.25">
      <c r="A126" s="1" t="s">
        <v>47</v>
      </c>
      <c r="B126" s="1"/>
      <c r="C126" s="1"/>
      <c r="D126" s="1"/>
      <c r="E126" s="1"/>
      <c r="F126" s="1"/>
      <c r="G126" s="123">
        <f>SUM(G114:G116,G121:G123,G124,G125)</f>
        <v>-368.77845454545474</v>
      </c>
      <c r="H126" s="123"/>
    </row>
    <row r="127" spans="1:11" ht="4.9000000000000004" customHeight="1" x14ac:dyDescent="0.25"/>
    <row r="128" spans="1:11" x14ac:dyDescent="0.25">
      <c r="A128" s="104" t="s">
        <v>21</v>
      </c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</row>
    <row r="129" spans="1:11" ht="13.5" customHeight="1" thickBot="1" x14ac:dyDescent="0.3">
      <c r="A129" t="s">
        <v>104</v>
      </c>
      <c r="E129" s="84">
        <v>2</v>
      </c>
      <c r="F129" s="85" t="s">
        <v>16</v>
      </c>
    </row>
    <row r="130" spans="1:11" ht="13.5" customHeight="1" thickBot="1" x14ac:dyDescent="0.3">
      <c r="A130" t="s">
        <v>22</v>
      </c>
      <c r="D130" s="2"/>
      <c r="E130" s="79">
        <f>E129*D117</f>
        <v>2700</v>
      </c>
    </row>
    <row r="131" spans="1:11" ht="4.9000000000000004" customHeight="1" x14ac:dyDescent="0.25"/>
    <row r="132" spans="1:11" x14ac:dyDescent="0.25">
      <c r="A132" s="104" t="s">
        <v>85</v>
      </c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</row>
    <row r="133" spans="1:11" ht="4.9000000000000004" customHeight="1" x14ac:dyDescent="0.25"/>
    <row r="134" spans="1:11" ht="30" customHeight="1" x14ac:dyDescent="0.25">
      <c r="A134" s="109" t="s">
        <v>24</v>
      </c>
      <c r="B134" s="110"/>
      <c r="C134" s="88" t="s">
        <v>25</v>
      </c>
      <c r="D134" s="88" t="s">
        <v>26</v>
      </c>
      <c r="E134" s="88" t="s">
        <v>27</v>
      </c>
      <c r="F134" s="88" t="s">
        <v>28</v>
      </c>
      <c r="G134" s="124" t="s">
        <v>29</v>
      </c>
      <c r="H134" s="124"/>
      <c r="I134" s="120" t="s">
        <v>30</v>
      </c>
      <c r="J134" s="121"/>
    </row>
    <row r="135" spans="1:11" ht="13.5" customHeight="1" x14ac:dyDescent="0.25">
      <c r="A135" s="107" t="s">
        <v>105</v>
      </c>
      <c r="B135" s="108"/>
      <c r="C135" s="89">
        <f>E129</f>
        <v>2</v>
      </c>
      <c r="D135" s="86" t="s">
        <v>106</v>
      </c>
      <c r="E135" s="13">
        <f>G126</f>
        <v>-368.77845454545474</v>
      </c>
      <c r="F135" s="4">
        <f>C135*E135</f>
        <v>-737.55690909090947</v>
      </c>
      <c r="G135" s="122">
        <f>F135/$G$10</f>
        <v>-6.2599922154047962E-3</v>
      </c>
      <c r="H135" s="122"/>
      <c r="I135" s="122">
        <f>IFERROR(F135/E130,0)</f>
        <v>-0.27316922558922574</v>
      </c>
      <c r="J135" s="122"/>
    </row>
    <row r="136" spans="1:11" ht="4.9000000000000004" customHeight="1" thickBot="1" x14ac:dyDescent="0.3">
      <c r="F136" s="5"/>
      <c r="G136" s="90"/>
      <c r="H136" s="80"/>
      <c r="I136" s="5"/>
    </row>
    <row r="137" spans="1:11" ht="13.5" customHeight="1" thickTop="1" thickBot="1" x14ac:dyDescent="0.3">
      <c r="A137" s="1" t="s">
        <v>35</v>
      </c>
      <c r="B137" s="1"/>
      <c r="F137" s="6">
        <f>SUM(F135:F135)</f>
        <v>-737.55690909090947</v>
      </c>
      <c r="G137" s="111">
        <f>SUM(G135:G135)</f>
        <v>-6.2599922154047962E-3</v>
      </c>
      <c r="H137" s="112"/>
      <c r="I137" s="111">
        <f>SUM(I134:I135)</f>
        <v>-0.27316922558922574</v>
      </c>
      <c r="J137" s="112"/>
    </row>
    <row r="138" spans="1:11" ht="4.9000000000000004" customHeight="1" thickTop="1" x14ac:dyDescent="0.25"/>
    <row r="139" spans="1:11" x14ac:dyDescent="0.25">
      <c r="A139" s="105" t="s">
        <v>107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</row>
    <row r="140" spans="1:11" ht="4.9000000000000004" customHeight="1" x14ac:dyDescent="0.25"/>
    <row r="141" spans="1:11" ht="30" customHeight="1" x14ac:dyDescent="0.25">
      <c r="A141" s="109" t="s">
        <v>24</v>
      </c>
      <c r="B141" s="110"/>
      <c r="C141" s="88" t="s">
        <v>25</v>
      </c>
      <c r="D141" s="88" t="s">
        <v>26</v>
      </c>
      <c r="E141" s="88" t="s">
        <v>27</v>
      </c>
      <c r="F141" s="88" t="s">
        <v>28</v>
      </c>
      <c r="G141" s="124" t="s">
        <v>29</v>
      </c>
      <c r="H141" s="124"/>
    </row>
    <row r="142" spans="1:11" ht="13.5" customHeight="1" x14ac:dyDescent="0.25">
      <c r="A142" s="107" t="s">
        <v>108</v>
      </c>
      <c r="B142" s="108"/>
      <c r="C142" s="13">
        <f>G10</f>
        <v>117820.7390219919</v>
      </c>
      <c r="D142" s="86" t="s">
        <v>34</v>
      </c>
      <c r="E142" s="87">
        <f>K12</f>
        <v>0.02</v>
      </c>
      <c r="F142" s="4">
        <f>C142*E142</f>
        <v>2356.4147804398381</v>
      </c>
      <c r="G142" s="122">
        <f>F142/$G$10</f>
        <v>0.02</v>
      </c>
      <c r="H142" s="122"/>
    </row>
    <row r="143" spans="1:11" x14ac:dyDescent="0.25"/>
    <row r="144" spans="1:11" x14ac:dyDescent="0.25">
      <c r="A144" s="105" t="s">
        <v>109</v>
      </c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</row>
    <row r="145" spans="1:11" ht="4.5" customHeight="1" x14ac:dyDescent="0.25">
      <c r="I145" s="78">
        <f>F34</f>
        <v>0</v>
      </c>
    </row>
    <row r="146" spans="1:11" s="98" customFormat="1" ht="30" customHeight="1" x14ac:dyDescent="0.25">
      <c r="A146" s="95" t="s">
        <v>110</v>
      </c>
      <c r="B146" s="96"/>
      <c r="C146" s="96"/>
      <c r="D146" s="96"/>
      <c r="E146" s="96"/>
      <c r="F146" s="96"/>
      <c r="G146" s="97" t="s">
        <v>28</v>
      </c>
      <c r="H146" s="120" t="s">
        <v>111</v>
      </c>
      <c r="I146" s="121"/>
      <c r="J146" s="120" t="s">
        <v>30</v>
      </c>
      <c r="K146" s="121"/>
    </row>
    <row r="147" spans="1:11" s="94" customFormat="1" ht="30" customHeight="1" x14ac:dyDescent="0.25">
      <c r="A147" s="137" t="s">
        <v>112</v>
      </c>
      <c r="B147" s="138"/>
      <c r="C147" s="138"/>
      <c r="D147" s="138"/>
      <c r="E147" s="138"/>
      <c r="F147" s="138"/>
      <c r="G147" s="93">
        <f>F35</f>
        <v>-1124.8339872611455</v>
      </c>
      <c r="H147" s="133">
        <f>G147/$G$10</f>
        <v>-9.5469948380750604E-3</v>
      </c>
      <c r="I147" s="134"/>
      <c r="J147" s="133">
        <f>I35</f>
        <v>-0.2500427397260272</v>
      </c>
      <c r="K147" s="134"/>
    </row>
    <row r="148" spans="1:11" x14ac:dyDescent="0.25">
      <c r="A148" s="17" t="s">
        <v>113</v>
      </c>
      <c r="B148" s="18"/>
      <c r="C148" s="18"/>
      <c r="D148" s="18"/>
      <c r="E148" s="18"/>
      <c r="F148" s="18"/>
      <c r="G148" s="13">
        <f>F97</f>
        <v>-1106.7124750603502</v>
      </c>
      <c r="H148" s="133">
        <f t="shared" ref="H148:H151" si="5">G148/$G$10</f>
        <v>-9.3931890450438954E-3</v>
      </c>
      <c r="I148" s="134"/>
      <c r="J148" s="133">
        <f>I97</f>
        <v>-0.44613016796159688</v>
      </c>
      <c r="K148" s="134"/>
    </row>
    <row r="149" spans="1:11" x14ac:dyDescent="0.25">
      <c r="A149" s="17" t="s">
        <v>114</v>
      </c>
      <c r="B149" s="18"/>
      <c r="C149" s="18"/>
      <c r="D149" s="18"/>
      <c r="E149" s="18"/>
      <c r="F149" s="18"/>
      <c r="G149" s="13">
        <f>F137</f>
        <v>-737.55690909090947</v>
      </c>
      <c r="H149" s="133">
        <f t="shared" si="5"/>
        <v>-6.2599922154047962E-3</v>
      </c>
      <c r="I149" s="134"/>
      <c r="J149" s="133">
        <f>I137</f>
        <v>-0.27316922558922574</v>
      </c>
      <c r="K149" s="134"/>
    </row>
    <row r="150" spans="1:11" ht="15.75" thickBot="1" x14ac:dyDescent="0.3">
      <c r="A150" s="17" t="s">
        <v>115</v>
      </c>
      <c r="B150" s="18"/>
      <c r="C150" s="18"/>
      <c r="D150" s="18"/>
      <c r="E150" s="18"/>
      <c r="F150" s="18"/>
      <c r="G150" s="92">
        <f>F142</f>
        <v>2356.4147804398381</v>
      </c>
      <c r="H150" s="144">
        <f t="shared" si="5"/>
        <v>0.02</v>
      </c>
      <c r="I150" s="145"/>
    </row>
    <row r="151" spans="1:11" ht="16.5" thickTop="1" thickBot="1" x14ac:dyDescent="0.3">
      <c r="A151" s="1" t="s">
        <v>116</v>
      </c>
      <c r="B151" s="1"/>
      <c r="C151" s="1"/>
      <c r="D151" s="1"/>
      <c r="E151" s="1"/>
      <c r="F151" s="1"/>
      <c r="G151" s="81">
        <f>SUM(G147:G150)</f>
        <v>-612.688590972567</v>
      </c>
      <c r="H151" s="142">
        <f t="shared" si="5"/>
        <v>-5.2001760985237516E-3</v>
      </c>
      <c r="I151" s="143"/>
    </row>
    <row r="152" spans="1:11" ht="6" customHeight="1" thickTop="1" x14ac:dyDescent="0.25"/>
    <row r="153" spans="1:11" ht="15" customHeight="1" x14ac:dyDescent="0.25"/>
  </sheetData>
  <sheetProtection sheet="1" objects="1" scenarios="1"/>
  <mergeCells count="92">
    <mergeCell ref="H151:I151"/>
    <mergeCell ref="I134:J134"/>
    <mergeCell ref="I135:J135"/>
    <mergeCell ref="I137:J137"/>
    <mergeCell ref="J146:K146"/>
    <mergeCell ref="J147:K147"/>
    <mergeCell ref="J148:K148"/>
    <mergeCell ref="J149:K149"/>
    <mergeCell ref="H146:I146"/>
    <mergeCell ref="H147:I147"/>
    <mergeCell ref="H148:I148"/>
    <mergeCell ref="H149:I149"/>
    <mergeCell ref="H150:I150"/>
    <mergeCell ref="A147:F147"/>
    <mergeCell ref="A144:K144"/>
    <mergeCell ref="G137:H137"/>
    <mergeCell ref="A139:K139"/>
    <mergeCell ref="A141:B141"/>
    <mergeCell ref="G141:H141"/>
    <mergeCell ref="A142:B142"/>
    <mergeCell ref="G142:H142"/>
    <mergeCell ref="A128:K128"/>
    <mergeCell ref="A132:K132"/>
    <mergeCell ref="A134:B134"/>
    <mergeCell ref="G134:H134"/>
    <mergeCell ref="A135:B135"/>
    <mergeCell ref="G135:H135"/>
    <mergeCell ref="G126:H126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14:H114"/>
    <mergeCell ref="I97:J97"/>
    <mergeCell ref="A61:C61"/>
    <mergeCell ref="A89:K89"/>
    <mergeCell ref="A92:K92"/>
    <mergeCell ref="A94:B94"/>
    <mergeCell ref="G94:H94"/>
    <mergeCell ref="A95:B95"/>
    <mergeCell ref="G95:H95"/>
    <mergeCell ref="I94:J94"/>
    <mergeCell ref="I95:J95"/>
    <mergeCell ref="G97:H97"/>
    <mergeCell ref="A100:K100"/>
    <mergeCell ref="A102:K102"/>
    <mergeCell ref="A113:C113"/>
    <mergeCell ref="G113:H113"/>
    <mergeCell ref="A39:K39"/>
    <mergeCell ref="C49:D49"/>
    <mergeCell ref="F49:G49"/>
    <mergeCell ref="C44:D44"/>
    <mergeCell ref="F44:G44"/>
    <mergeCell ref="A45:B45"/>
    <mergeCell ref="C45:D45"/>
    <mergeCell ref="F45:G45"/>
    <mergeCell ref="C46:D46"/>
    <mergeCell ref="F46:G46"/>
    <mergeCell ref="C47:D47"/>
    <mergeCell ref="F47:G47"/>
    <mergeCell ref="A48:B48"/>
    <mergeCell ref="C48:D48"/>
    <mergeCell ref="F48:G48"/>
    <mergeCell ref="C43:D43"/>
    <mergeCell ref="F43:G43"/>
    <mergeCell ref="I33:J33"/>
    <mergeCell ref="I35:J35"/>
    <mergeCell ref="A26:K26"/>
    <mergeCell ref="A29:K29"/>
    <mergeCell ref="A31:B31"/>
    <mergeCell ref="G31:H31"/>
    <mergeCell ref="A32:B32"/>
    <mergeCell ref="G32:H32"/>
    <mergeCell ref="I31:J31"/>
    <mergeCell ref="I32:J32"/>
    <mergeCell ref="A33:B33"/>
    <mergeCell ref="G33:H33"/>
    <mergeCell ref="G35:H35"/>
    <mergeCell ref="A37:K37"/>
    <mergeCell ref="A17:K17"/>
    <mergeCell ref="A1:B1"/>
    <mergeCell ref="C1:K1"/>
    <mergeCell ref="A3:K3"/>
    <mergeCell ref="D5:E5"/>
    <mergeCell ref="A15:K15"/>
  </mergeCells>
  <conditionalFormatting sqref="A6:E6">
    <cfRule type="expression" dxfId="11" priority="1">
      <formula>$D$5="Modèle de planification"</formula>
    </cfRule>
  </conditionalFormatting>
  <conditionalFormatting sqref="E6">
    <cfRule type="expression" dxfId="10" priority="2">
      <formula>$D$5="Modèle de planification"</formula>
    </cfRule>
  </conditionalFormatting>
  <dataValidations count="7">
    <dataValidation type="whole" allowBlank="1" showInputMessage="1" showErrorMessage="1" prompt="C'est une charge. Saisir une valeur négative." sqref="G72:G76 G121:G123" xr:uid="{4EEDB8A1-D244-45F0-A68A-13CA127EA36B}">
      <formula1>-1000</formula1>
      <formula2>0</formula2>
    </dataValidation>
    <dataValidation allowBlank="1" showInputMessage="1" showErrorMessage="1" prompt="Base de calcul : valeur d'une coupe d'herbe de 15 dt = Fr. 110.- à 15% de M.S." sqref="F81" xr:uid="{CB0BBC48-C969-4683-A81C-319C55248A57}"/>
    <dataValidation type="whole" allowBlank="1" showInputMessage="1" showErrorMessage="1" prompt="C'est une charge. Saisir une valeur négative." sqref="G80" xr:uid="{97A30C4A-2D44-470A-A81A-E229AFD61311}">
      <formula1>-2000</formula1>
      <formula2>0</formula2>
    </dataValidation>
    <dataValidation allowBlank="1" showInputMessage="1" showErrorMessage="1" prompt="Saisir ici le nombre de semaine de lactation moyen des vaches qui seront réformées prématurément pour diminuer le troupeau de vaches laitières" sqref="D57" xr:uid="{4C9889EB-47AC-48BF-84A8-F1004EAF3D70}"/>
    <dataValidation type="whole" allowBlank="1" showInputMessage="1" showErrorMessage="1" prompt="Saisir ici le nombre de semaine de lactation moyen (entre 3 et 44) des vaches qui seront réformées prématurément pour diminuer le troupeau de vaches laitières" sqref="D56" xr:uid="{2FB0D397-3673-44E4-ABB9-DB4673F8B9F1}">
      <formula1>3</formula1>
      <formula2>44</formula2>
    </dataValidation>
    <dataValidation type="list" allowBlank="1" showInputMessage="1" showErrorMessage="1" sqref="D5:E5" xr:uid="{AFB58A2D-AE48-447B-9A81-2FD2B82B1D09}">
      <formula1>"Modèle de base,Modèle de planification"</formula1>
    </dataValidation>
    <dataValidation allowBlank="1" showInputMessage="1" showErrorMessage="1" prompt="Si option non retenue, mettre 0" sqref="F20 I57 E129" xr:uid="{CD61D061-5104-486D-8FD0-2F1F4C802267}"/>
  </dataValidations>
  <pageMargins left="0.23622047244094491" right="0.23622047244094491" top="0.27559055118110237" bottom="0.27559055118110237" header="0.19685039370078741" footer="7.874015748031496E-2"/>
  <pageSetup paperSize="9" orientation="landscape" cellComments="asDisplayed" r:id="rId1"/>
  <headerFooter>
    <oddFooter>&amp;LFRI&amp;R&amp;D</oddFooter>
  </headerFooter>
  <rowBreaks count="3" manualBreakCount="3">
    <brk id="36" max="16383" man="1"/>
    <brk id="99" max="16383" man="1"/>
    <brk id="1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4321-1CD5-4012-91C2-81815DEB9D12}">
  <dimension ref="A1:T153"/>
  <sheetViews>
    <sheetView showGridLines="0" topLeftCell="A94" zoomScale="115" zoomScaleNormal="115" workbookViewId="0">
      <selection activeCell="D109" sqref="D109"/>
    </sheetView>
  </sheetViews>
  <sheetFormatPr baseColWidth="10" defaultColWidth="0" defaultRowHeight="15" customHeight="1" zeroHeight="1" x14ac:dyDescent="0.25"/>
  <cols>
    <col min="1" max="11" width="12.7109375" customWidth="1"/>
    <col min="12" max="12" width="0.7109375" customWidth="1"/>
    <col min="13" max="13" width="30.5703125" hidden="1" customWidth="1"/>
    <col min="14" max="14" width="10.85546875" hidden="1" customWidth="1"/>
    <col min="15" max="15" width="14.7109375" hidden="1" customWidth="1"/>
    <col min="16" max="16" width="7.7109375" hidden="1" customWidth="1"/>
    <col min="17" max="17" width="14.7109375" hidden="1" customWidth="1"/>
    <col min="18" max="18" width="7.7109375" hidden="1" customWidth="1"/>
    <col min="19" max="19" width="14.7109375" hidden="1" customWidth="1"/>
    <col min="20" max="20" width="7.7109375" hidden="1" customWidth="1"/>
    <col min="21" max="16384" width="11.42578125" hidden="1"/>
  </cols>
  <sheetData>
    <row r="1" spans="1:11" ht="21.75" thickBot="1" x14ac:dyDescent="0.4">
      <c r="A1" s="127" t="s">
        <v>120</v>
      </c>
      <c r="B1" s="127"/>
      <c r="C1" s="128" t="s">
        <v>136</v>
      </c>
      <c r="D1" s="128"/>
      <c r="E1" s="128"/>
      <c r="F1" s="128"/>
      <c r="G1" s="128"/>
      <c r="H1" s="128"/>
      <c r="I1" s="128"/>
      <c r="J1" s="128"/>
      <c r="K1" s="128"/>
    </row>
    <row r="2" spans="1:11" ht="4.5" customHeight="1" thickBot="1" x14ac:dyDescent="0.3"/>
    <row r="3" spans="1:11" ht="27" customHeight="1" thickBot="1" x14ac:dyDescent="0.3">
      <c r="A3" s="129" t="str">
        <f>'Simulation A1'!A3</f>
        <v xml:space="preserve">Hypothèse de prix du lait de février à juin selon information Mooh du 14.01.2026 incluant la contribution fédérale de 5cts. Spécificité du modèle de planification : bonus 1.5 cts sur l’ensemble du volume de lait livré, pénalité moyenne de 32.8 cts par kg de lait surlivré. Spécificité du modèle de base 4% valorisé en lait C à 21cts. </v>
      </c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4.5" customHeight="1" x14ac:dyDescent="0.25"/>
    <row r="5" spans="1:11" ht="13.5" customHeight="1" x14ac:dyDescent="0.25">
      <c r="A5" t="s">
        <v>1</v>
      </c>
      <c r="D5" s="132" t="s">
        <v>119</v>
      </c>
      <c r="E5" s="132"/>
      <c r="G5" t="s">
        <v>3</v>
      </c>
      <c r="K5" s="31">
        <v>150</v>
      </c>
    </row>
    <row r="6" spans="1:11" ht="13.5" customHeight="1" x14ac:dyDescent="0.25">
      <c r="A6" s="71" t="str">
        <f>IF(D5="Modèle de base","",IF(D5="Modèle de planification","Quantité mensuelle annoncée [kg]"))</f>
        <v/>
      </c>
      <c r="B6" s="71"/>
      <c r="C6" s="71"/>
      <c r="D6" s="71"/>
      <c r="E6" s="72"/>
      <c r="G6" t="s">
        <v>4</v>
      </c>
      <c r="K6" s="50">
        <f>'Simulation A1'!K6</f>
        <v>0.84943999999999997</v>
      </c>
    </row>
    <row r="7" spans="1:11" ht="13.5" customHeight="1" x14ac:dyDescent="0.25">
      <c r="A7" t="s">
        <v>5</v>
      </c>
      <c r="E7" s="31">
        <f>'Simulation A1'!E7</f>
        <v>306000</v>
      </c>
      <c r="G7" t="s">
        <v>6</v>
      </c>
      <c r="K7" s="50">
        <f>'Simulation A1'!K7</f>
        <v>0.88900000000000001</v>
      </c>
    </row>
    <row r="8" spans="1:11" ht="13.5" customHeight="1" x14ac:dyDescent="0.25">
      <c r="A8" t="s">
        <v>7</v>
      </c>
      <c r="E8" s="31">
        <f>'Simulation A1'!E8</f>
        <v>127500</v>
      </c>
      <c r="G8" t="s">
        <v>8</v>
      </c>
      <c r="H8" s="73"/>
      <c r="I8" s="73"/>
      <c r="J8" s="73"/>
      <c r="K8" s="50">
        <f>'Simulation A1'!K8</f>
        <v>0.56100000000000017</v>
      </c>
    </row>
    <row r="9" spans="1:11" ht="13.5" customHeight="1" thickBot="1" x14ac:dyDescent="0.3">
      <c r="A9" t="s">
        <v>9</v>
      </c>
      <c r="G9" s="31">
        <v>127500</v>
      </c>
      <c r="I9" s="69"/>
      <c r="J9" s="74" t="s">
        <v>139</v>
      </c>
      <c r="K9" s="66">
        <f>(G9/E8)-1</f>
        <v>0</v>
      </c>
    </row>
    <row r="10" spans="1:11" ht="13.5" customHeight="1" thickTop="1" thickBot="1" x14ac:dyDescent="0.3">
      <c r="A10" t="s">
        <v>10</v>
      </c>
      <c r="G10" s="67">
        <f>G9-E27-E90-E130</f>
        <v>114702.26768441228</v>
      </c>
      <c r="I10" s="69"/>
      <c r="J10" s="74" t="s">
        <v>140</v>
      </c>
      <c r="K10" s="68">
        <f>(G10/E8)-1</f>
        <v>-0.1003743711026488</v>
      </c>
    </row>
    <row r="11" spans="1:11" ht="13.5" customHeight="1" thickTop="1" thickBot="1" x14ac:dyDescent="0.3">
      <c r="A11" t="str">
        <f>IF(D5="Modèle de base","Diminution de quantité par rapport à la même période 2025 [kg]",IF(D5="Modèle de planification","Surlivraisons dans le modèle de planification [kg]",""))</f>
        <v>Diminution de quantité par rapport à la même période 2025 [kg]</v>
      </c>
      <c r="F11" s="77">
        <f>IF(D5="Modèle de planification",IF(G10-(E6*5)&lt;=0,0,G10-(E6*5)),IF(D5="Modèle de base",IF(E8-G10&lt;0,0,E8-G10),""))</f>
        <v>12797.732315587724</v>
      </c>
      <c r="H11" s="70"/>
      <c r="I11" s="69"/>
      <c r="J11" s="74" t="str">
        <f>IF(D5="Modèle de planification","Taux de surlivraison en modèle planification","")</f>
        <v/>
      </c>
      <c r="K11" s="66" t="str">
        <f>IF(D5="Modèle de planification",IF(F11&gt;0,F11/(E6*5),0),"")</f>
        <v/>
      </c>
    </row>
    <row r="12" spans="1:11" ht="13.5" customHeight="1" thickBot="1" x14ac:dyDescent="0.3">
      <c r="H12" s="70"/>
      <c r="I12" s="69"/>
      <c r="J12" s="74" t="str">
        <f>IF(D5="Modèle de base","Supplément de prix pour diminution de la quantité produit en modèle de base [Fr./kg]",IF(D5="Modèle de planification","Diminution de prix pour surlivraison en modèle planification [Fr./kg]"))</f>
        <v>Supplément de prix pour diminution de la quantité produit en modèle de base [Fr./kg]</v>
      </c>
      <c r="K12" s="75">
        <f>IF(D5="Modèle de planification",-K11*(K7-K8),IF(D5="Modèle de base",IF(K10&lt;=-0.1,0.04,IF(K10&lt;=-0.05,0.02,0))))</f>
        <v>0.04</v>
      </c>
    </row>
    <row r="13" spans="1:11" ht="13.5" customHeight="1" thickTop="1" thickBot="1" x14ac:dyDescent="0.3">
      <c r="C13" s="78"/>
      <c r="G13" s="75"/>
      <c r="J13" s="74" t="str">
        <f>IF(D5="Modèle de planification","Prix du lait après éventuelles réductions pour surlivraisons [Fr./kg]",IF(D5="Modèle de base","Prix du lait après mesures volontaire de réduction [Fr./kg]"))</f>
        <v>Prix du lait après mesures volontaire de réduction [Fr./kg]</v>
      </c>
      <c r="K13" s="76">
        <f>IF(D5="Modèle de base",SUM(K6,K12),IF(D5="Modèle de planification",SUM(K7,K12)))</f>
        <v>0.88944000000000001</v>
      </c>
    </row>
    <row r="14" spans="1:11" ht="4.5" customHeight="1" thickTop="1" x14ac:dyDescent="0.25"/>
    <row r="15" spans="1:11" ht="15" customHeight="1" x14ac:dyDescent="0.25">
      <c r="A15" s="105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4.5" customHeight="1" x14ac:dyDescent="0.25"/>
    <row r="17" spans="1:11" x14ac:dyDescent="0.25">
      <c r="A17" s="104" t="s">
        <v>12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ht="13.5" customHeight="1" x14ac:dyDescent="0.25">
      <c r="A18" t="s">
        <v>13</v>
      </c>
      <c r="F18" s="30">
        <f>'Simulation A1'!F18</f>
        <v>7.3</v>
      </c>
      <c r="H18" s="101"/>
      <c r="I18" s="101"/>
      <c r="J18" s="101"/>
      <c r="K18" s="101"/>
    </row>
    <row r="19" spans="1:11" ht="13.5" customHeight="1" x14ac:dyDescent="0.25">
      <c r="A19" t="s">
        <v>14</v>
      </c>
      <c r="F19" s="30">
        <f>'Simulation A1'!F19</f>
        <v>144</v>
      </c>
      <c r="H19" s="101"/>
      <c r="I19" s="101"/>
      <c r="J19" s="101"/>
      <c r="K19" s="101"/>
    </row>
    <row r="20" spans="1:11" ht="13.5" customHeight="1" x14ac:dyDescent="0.25">
      <c r="A20" t="s">
        <v>15</v>
      </c>
      <c r="F20" s="82">
        <v>47</v>
      </c>
      <c r="G20" s="85" t="s">
        <v>16</v>
      </c>
      <c r="H20" s="101"/>
      <c r="I20" s="101"/>
      <c r="J20" s="101"/>
      <c r="K20" s="101"/>
    </row>
    <row r="21" spans="1:11" ht="13.5" customHeight="1" x14ac:dyDescent="0.25">
      <c r="A21" t="s">
        <v>17</v>
      </c>
      <c r="F21" s="2">
        <f>F20/150</f>
        <v>0.31333333333333335</v>
      </c>
      <c r="H21" s="101"/>
      <c r="I21" s="101"/>
      <c r="J21" s="101"/>
      <c r="K21" s="101"/>
    </row>
    <row r="22" spans="1:11" ht="13.5" customHeight="1" x14ac:dyDescent="0.25">
      <c r="A22" t="s">
        <v>18</v>
      </c>
      <c r="E22" s="3"/>
      <c r="F22">
        <v>45</v>
      </c>
      <c r="H22" s="101"/>
      <c r="I22" s="101"/>
      <c r="J22" s="101"/>
      <c r="K22" s="101"/>
    </row>
    <row r="23" spans="1:11" ht="13.5" customHeight="1" x14ac:dyDescent="0.25">
      <c r="A23" t="s">
        <v>19</v>
      </c>
      <c r="D23" s="5"/>
      <c r="F23" s="3">
        <f>F20*F18/3.14</f>
        <v>109.26751592356686</v>
      </c>
    </row>
    <row r="24" spans="1:11" ht="13.5" customHeight="1" x14ac:dyDescent="0.25">
      <c r="A24" t="s">
        <v>20</v>
      </c>
      <c r="F24" s="2">
        <f>F23/150</f>
        <v>0.72845010615711236</v>
      </c>
    </row>
    <row r="25" spans="1:11" ht="4.5" customHeight="1" x14ac:dyDescent="0.25">
      <c r="D25" s="2"/>
      <c r="E25" s="28"/>
    </row>
    <row r="26" spans="1:11" ht="15.75" thickBot="1" x14ac:dyDescent="0.3">
      <c r="A26" s="104" t="s">
        <v>21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1" ht="13.5" customHeight="1" thickBot="1" x14ac:dyDescent="0.3">
      <c r="A27" t="s">
        <v>22</v>
      </c>
      <c r="D27" s="2"/>
      <c r="E27" s="79">
        <f>(F23*F22)</f>
        <v>4917.0382165605088</v>
      </c>
    </row>
    <row r="28" spans="1:11" ht="4.9000000000000004" customHeight="1" x14ac:dyDescent="0.25">
      <c r="D28" s="2"/>
      <c r="E28" s="3"/>
    </row>
    <row r="29" spans="1:11" x14ac:dyDescent="0.25">
      <c r="A29" s="104" t="s">
        <v>23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1" ht="4.9000000000000004" customHeight="1" x14ac:dyDescent="0.25"/>
    <row r="31" spans="1:11" ht="30" customHeight="1" x14ac:dyDescent="0.25">
      <c r="A31" s="109" t="s">
        <v>24</v>
      </c>
      <c r="B31" s="110"/>
      <c r="C31" s="88" t="s">
        <v>25</v>
      </c>
      <c r="D31" s="88" t="s">
        <v>26</v>
      </c>
      <c r="E31" s="88" t="s">
        <v>27</v>
      </c>
      <c r="F31" s="88" t="s">
        <v>28</v>
      </c>
      <c r="G31" s="124" t="s">
        <v>29</v>
      </c>
      <c r="H31" s="124"/>
      <c r="I31" s="120" t="s">
        <v>30</v>
      </c>
      <c r="J31" s="121"/>
    </row>
    <row r="32" spans="1:11" ht="13.5" customHeight="1" x14ac:dyDescent="0.25">
      <c r="A32" s="107" t="s">
        <v>31</v>
      </c>
      <c r="B32" s="108"/>
      <c r="C32" s="8">
        <f>-F20*F22/100</f>
        <v>-21.15</v>
      </c>
      <c r="D32" s="86" t="s">
        <v>32</v>
      </c>
      <c r="E32" s="8">
        <f>F19</f>
        <v>144</v>
      </c>
      <c r="F32" s="4">
        <f>-C32*E32</f>
        <v>3045.6</v>
      </c>
      <c r="G32" s="122">
        <f>F32/$G$10</f>
        <v>2.6552221342123376E-2</v>
      </c>
      <c r="H32" s="122"/>
      <c r="I32" s="122">
        <f>IFERROR(F32/E27,0)</f>
        <v>0.61939726027397268</v>
      </c>
      <c r="J32" s="122"/>
    </row>
    <row r="33" spans="1:11" ht="13.5" customHeight="1" x14ac:dyDescent="0.25">
      <c r="A33" s="107" t="s">
        <v>33</v>
      </c>
      <c r="B33" s="108"/>
      <c r="C33" s="13">
        <f>-E27</f>
        <v>-4917.0382165605088</v>
      </c>
      <c r="D33" s="86" t="s">
        <v>34</v>
      </c>
      <c r="E33" s="87">
        <f>K13</f>
        <v>0.88944000000000001</v>
      </c>
      <c r="F33" s="4">
        <f>C33*E33</f>
        <v>-4373.4104713375791</v>
      </c>
      <c r="G33" s="122">
        <f>F33/$G$10</f>
        <v>-3.8128369731716419E-2</v>
      </c>
      <c r="H33" s="122"/>
      <c r="I33" s="122">
        <f>IFERROR(F33/E27,0)</f>
        <v>-0.88944000000000001</v>
      </c>
      <c r="J33" s="122"/>
    </row>
    <row r="34" spans="1:11" ht="4.9000000000000004" customHeight="1" thickBot="1" x14ac:dyDescent="0.3">
      <c r="F34" s="5"/>
      <c r="G34" s="5"/>
      <c r="I34" s="5"/>
    </row>
    <row r="35" spans="1:11" ht="13.5" customHeight="1" thickTop="1" thickBot="1" x14ac:dyDescent="0.3">
      <c r="A35" s="1" t="s">
        <v>35</v>
      </c>
      <c r="B35" s="1"/>
      <c r="F35" s="6">
        <f>SUM(F32:F33)</f>
        <v>-1327.8104713375792</v>
      </c>
      <c r="G35" s="111">
        <f>SUM(G32:G33)</f>
        <v>-1.1576148389593043E-2</v>
      </c>
      <c r="H35" s="112"/>
      <c r="I35" s="111">
        <f>SUM(I32:I33)</f>
        <v>-0.27004273972602733</v>
      </c>
      <c r="J35" s="112"/>
    </row>
    <row r="36" spans="1:11" ht="4.9000000000000004" customHeight="1" thickTop="1" x14ac:dyDescent="0.25"/>
    <row r="37" spans="1:11" x14ac:dyDescent="0.25">
      <c r="A37" s="105" t="s">
        <v>36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1" ht="4.5" customHeight="1" x14ac:dyDescent="0.25"/>
    <row r="39" spans="1:11" x14ac:dyDescent="0.25">
      <c r="A39" s="104" t="s">
        <v>12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ht="4.9000000000000004" customHeight="1" x14ac:dyDescent="0.25"/>
    <row r="41" spans="1:11" x14ac:dyDescent="0.25">
      <c r="A41" s="23" t="s">
        <v>37</v>
      </c>
      <c r="B41" s="24"/>
      <c r="C41" s="24"/>
      <c r="D41" s="24"/>
      <c r="E41" s="24"/>
      <c r="F41" s="24"/>
      <c r="G41" s="24"/>
      <c r="H41" s="24"/>
      <c r="I41" s="24"/>
    </row>
    <row r="42" spans="1:11" ht="4.9000000000000004" customHeight="1" x14ac:dyDescent="0.25"/>
    <row r="43" spans="1:11" ht="13.5" customHeight="1" x14ac:dyDescent="0.25">
      <c r="A43" s="9" t="s">
        <v>38</v>
      </c>
      <c r="B43" s="9"/>
      <c r="C43" s="106" t="s">
        <v>39</v>
      </c>
      <c r="D43" s="106"/>
      <c r="E43" s="9" t="s">
        <v>40</v>
      </c>
      <c r="F43" s="106" t="s">
        <v>41</v>
      </c>
      <c r="G43" s="106"/>
    </row>
    <row r="44" spans="1:11" ht="13.5" customHeight="1" x14ac:dyDescent="0.25">
      <c r="A44" s="8" t="s">
        <v>42</v>
      </c>
      <c r="B44" s="8"/>
      <c r="C44" s="103">
        <v>16.600000000000001</v>
      </c>
      <c r="D44" s="103"/>
      <c r="E44" s="32">
        <v>0.15</v>
      </c>
      <c r="F44" s="102">
        <f>IFERROR(C44/E44,"")</f>
        <v>110.66666666666669</v>
      </c>
      <c r="G44" s="102"/>
    </row>
    <row r="45" spans="1:11" ht="13.5" customHeight="1" x14ac:dyDescent="0.25">
      <c r="A45" s="107" t="s">
        <v>43</v>
      </c>
      <c r="B45" s="108"/>
      <c r="C45" s="103">
        <v>15.32</v>
      </c>
      <c r="D45" s="103"/>
      <c r="E45" s="32">
        <v>0.88</v>
      </c>
      <c r="F45" s="102">
        <f>IFERROR(C45/E45,"")</f>
        <v>17.40909090909091</v>
      </c>
      <c r="G45" s="102"/>
    </row>
    <row r="46" spans="1:11" ht="13.5" customHeight="1" x14ac:dyDescent="0.25">
      <c r="A46" s="8" t="s">
        <v>44</v>
      </c>
      <c r="B46" s="8"/>
      <c r="C46" s="103">
        <v>23.1</v>
      </c>
      <c r="D46" s="103"/>
      <c r="E46" s="32">
        <v>0.3</v>
      </c>
      <c r="F46" s="102">
        <f>IFERROR(C46/E46,"")</f>
        <v>77.000000000000014</v>
      </c>
      <c r="G46" s="102"/>
    </row>
    <row r="47" spans="1:11" ht="13.5" customHeight="1" x14ac:dyDescent="0.25">
      <c r="A47" s="8" t="s">
        <v>45</v>
      </c>
      <c r="B47" s="8"/>
      <c r="C47" s="103">
        <v>11.68</v>
      </c>
      <c r="D47" s="103"/>
      <c r="E47" s="32">
        <v>0.32</v>
      </c>
      <c r="F47" s="102">
        <f>IFERROR(C47/E47,"")</f>
        <v>36.5</v>
      </c>
      <c r="G47" s="102"/>
    </row>
    <row r="48" spans="1:11" ht="13.5" customHeight="1" x14ac:dyDescent="0.25">
      <c r="A48" s="115" t="s">
        <v>46</v>
      </c>
      <c r="B48" s="116"/>
      <c r="C48" s="103"/>
      <c r="D48" s="103"/>
      <c r="E48" s="32"/>
      <c r="F48" s="102" t="str">
        <f>IFERROR(C48/E48,"")</f>
        <v/>
      </c>
      <c r="G48" s="102"/>
    </row>
    <row r="49" spans="1:11" ht="13.5" customHeight="1" x14ac:dyDescent="0.25">
      <c r="A49" s="1" t="s">
        <v>47</v>
      </c>
      <c r="B49" s="1"/>
      <c r="C49" s="117">
        <f>SUM(C44:D48)</f>
        <v>66.7</v>
      </c>
      <c r="D49" s="117"/>
      <c r="E49" s="1"/>
      <c r="F49" s="118">
        <f>SUM(F44:G48)</f>
        <v>241.57575757575762</v>
      </c>
      <c r="G49" s="118"/>
    </row>
    <row r="50" spans="1:11" ht="4.9000000000000004" customHeight="1" x14ac:dyDescent="0.25"/>
    <row r="51" spans="1:11" x14ac:dyDescent="0.25">
      <c r="A51" s="23" t="s">
        <v>48</v>
      </c>
      <c r="B51" s="24"/>
      <c r="C51" s="24"/>
      <c r="D51" s="24"/>
      <c r="E51" s="24"/>
      <c r="F51" s="24"/>
      <c r="G51" s="24"/>
      <c r="H51" s="24"/>
      <c r="I51" s="24"/>
    </row>
    <row r="52" spans="1:11" ht="13.5" customHeight="1" x14ac:dyDescent="0.25">
      <c r="A52" t="s">
        <v>49</v>
      </c>
      <c r="D52" s="31">
        <f>'Simulation A1'!D52</f>
        <v>3200</v>
      </c>
    </row>
    <row r="53" spans="1:11" ht="13.5" customHeight="1" x14ac:dyDescent="0.25">
      <c r="A53" t="s">
        <v>50</v>
      </c>
      <c r="D53" s="31">
        <f>'Simulation A1'!D53</f>
        <v>3300</v>
      </c>
    </row>
    <row r="54" spans="1:11" ht="13.5" customHeight="1" x14ac:dyDescent="0.25">
      <c r="A54" t="s">
        <v>51</v>
      </c>
      <c r="D54" s="31">
        <f>'Simulation A1'!D54</f>
        <v>650</v>
      </c>
    </row>
    <row r="55" spans="1:11" ht="13.5" customHeight="1" x14ac:dyDescent="0.25">
      <c r="A55" t="s">
        <v>52</v>
      </c>
      <c r="D55" s="33">
        <v>3.5</v>
      </c>
      <c r="F55" t="s">
        <v>53</v>
      </c>
      <c r="K55" s="43">
        <f>VLOOKUP(D56,'Solde de lait à traire'!$A$4:$B$47,2,FALSE)/100</f>
        <v>0.35438487128960106</v>
      </c>
    </row>
    <row r="56" spans="1:11" ht="13.5" customHeight="1" x14ac:dyDescent="0.25">
      <c r="A56" t="s">
        <v>54</v>
      </c>
      <c r="D56" s="31">
        <v>25</v>
      </c>
      <c r="F56" t="s">
        <v>55</v>
      </c>
      <c r="K56" s="43">
        <f>(44-D56)/44</f>
        <v>0.43181818181818182</v>
      </c>
    </row>
    <row r="57" spans="1:11" ht="13.5" customHeight="1" x14ac:dyDescent="0.25">
      <c r="A57" t="s">
        <v>56</v>
      </c>
      <c r="I57" s="83">
        <v>1</v>
      </c>
      <c r="J57" s="85" t="s">
        <v>16</v>
      </c>
    </row>
    <row r="58" spans="1:11" ht="4.9000000000000004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</row>
    <row r="59" spans="1:11" x14ac:dyDescent="0.25">
      <c r="A59" s="23" t="s">
        <v>57</v>
      </c>
      <c r="B59" s="24"/>
      <c r="C59" s="24"/>
      <c r="D59" s="24"/>
      <c r="E59" s="24"/>
      <c r="F59" s="24"/>
      <c r="G59" s="24"/>
      <c r="H59" s="24"/>
      <c r="I59" s="24"/>
    </row>
    <row r="60" spans="1:11" ht="4.9000000000000004" customHeight="1" x14ac:dyDescent="0.25"/>
    <row r="61" spans="1:11" s="47" customFormat="1" ht="60" x14ac:dyDescent="0.25">
      <c r="A61" s="139"/>
      <c r="B61" s="139"/>
      <c r="C61" s="139"/>
      <c r="D61" s="45" t="s">
        <v>25</v>
      </c>
      <c r="E61" s="46" t="s">
        <v>26</v>
      </c>
      <c r="F61" s="45" t="s">
        <v>58</v>
      </c>
      <c r="G61" s="45" t="s">
        <v>59</v>
      </c>
      <c r="H61" s="45" t="s">
        <v>60</v>
      </c>
      <c r="I61" s="46" t="s">
        <v>61</v>
      </c>
      <c r="J61"/>
    </row>
    <row r="62" spans="1:11" ht="13.5" customHeight="1" x14ac:dyDescent="0.25">
      <c r="A62" s="17" t="s">
        <v>62</v>
      </c>
      <c r="B62" s="18"/>
      <c r="C62" s="19"/>
      <c r="D62" s="34">
        <f>'Simulation A1'!D62</f>
        <v>7000</v>
      </c>
      <c r="E62" s="8" t="s">
        <v>63</v>
      </c>
      <c r="F62" s="12">
        <f>K13</f>
        <v>0.88944000000000001</v>
      </c>
      <c r="G62" s="13">
        <f>D62*F62</f>
        <v>6226.08</v>
      </c>
      <c r="H62" s="44">
        <f>$K$55</f>
        <v>0.35438487128960106</v>
      </c>
      <c r="I62" s="13">
        <f>-G62*H62</f>
        <v>-2206.4285594387593</v>
      </c>
    </row>
    <row r="63" spans="1:11" ht="13.5" customHeight="1" x14ac:dyDescent="0.25">
      <c r="A63" s="17" t="s">
        <v>64</v>
      </c>
      <c r="B63" s="18"/>
      <c r="C63" s="19"/>
      <c r="D63" s="26">
        <f>1/D55</f>
        <v>0.2857142857142857</v>
      </c>
      <c r="E63" s="8" t="s">
        <v>65</v>
      </c>
      <c r="F63" s="27">
        <f>D52</f>
        <v>3200</v>
      </c>
      <c r="G63" s="13">
        <f>D63*F63</f>
        <v>914.28571428571422</v>
      </c>
      <c r="H63" s="44">
        <v>0</v>
      </c>
      <c r="I63" s="13">
        <f t="shared" ref="I63:I66" si="0">-G63*H63</f>
        <v>0</v>
      </c>
    </row>
    <row r="64" spans="1:11" ht="13.5" customHeight="1" x14ac:dyDescent="0.25">
      <c r="A64" s="17" t="s">
        <v>66</v>
      </c>
      <c r="B64" s="18"/>
      <c r="C64" s="19"/>
      <c r="D64" s="35">
        <v>0.95</v>
      </c>
      <c r="E64" s="8" t="s">
        <v>67</v>
      </c>
      <c r="F64" s="27">
        <f>D54</f>
        <v>650</v>
      </c>
      <c r="G64" s="13">
        <f>D64*F64</f>
        <v>617.5</v>
      </c>
      <c r="H64" s="44">
        <v>0</v>
      </c>
      <c r="I64" s="13">
        <f t="shared" si="0"/>
        <v>0</v>
      </c>
    </row>
    <row r="65" spans="1:10" ht="13.5" customHeight="1" x14ac:dyDescent="0.25">
      <c r="A65" s="17" t="s">
        <v>68</v>
      </c>
      <c r="B65" s="18"/>
      <c r="C65" s="19"/>
      <c r="D65" s="26">
        <f>D63</f>
        <v>0.2857142857142857</v>
      </c>
      <c r="E65" s="8" t="s">
        <v>69</v>
      </c>
      <c r="F65" s="27">
        <f>D53</f>
        <v>3300</v>
      </c>
      <c r="G65" s="13">
        <f>-D65*F65</f>
        <v>-942.85714285714278</v>
      </c>
      <c r="H65" s="44">
        <v>0</v>
      </c>
      <c r="I65" s="13">
        <f t="shared" si="0"/>
        <v>0</v>
      </c>
    </row>
    <row r="66" spans="1:10" ht="13.5" customHeight="1" x14ac:dyDescent="0.25">
      <c r="A66" s="17" t="s">
        <v>31</v>
      </c>
      <c r="B66" s="18"/>
      <c r="C66" s="19"/>
      <c r="D66" s="14"/>
      <c r="E66" s="14"/>
      <c r="F66" s="14"/>
      <c r="G66" s="13">
        <f>SUM(G67:G71)</f>
        <v>-596.07999999999993</v>
      </c>
      <c r="H66" s="44">
        <f>$K$55</f>
        <v>0.35438487128960106</v>
      </c>
      <c r="I66" s="13">
        <f t="shared" si="0"/>
        <v>211.24173407830537</v>
      </c>
    </row>
    <row r="67" spans="1:10" s="7" customFormat="1" ht="13.5" customHeight="1" x14ac:dyDescent="0.25">
      <c r="A67" s="20" t="s">
        <v>70</v>
      </c>
      <c r="B67" s="21"/>
      <c r="C67" s="22"/>
      <c r="D67" s="36">
        <f>'Simulation A1'!D67</f>
        <v>0</v>
      </c>
      <c r="E67" s="8" t="s">
        <v>63</v>
      </c>
      <c r="F67" s="37">
        <f>'Simulation A1'!F67</f>
        <v>0</v>
      </c>
      <c r="G67" s="15">
        <f>-D67*F67</f>
        <v>0</v>
      </c>
      <c r="H67" s="14"/>
      <c r="I67" s="14"/>
      <c r="J67"/>
    </row>
    <row r="68" spans="1:10" s="7" customFormat="1" ht="13.5" customHeight="1" x14ac:dyDescent="0.25">
      <c r="A68" s="20" t="s">
        <v>71</v>
      </c>
      <c r="B68" s="21"/>
      <c r="C68" s="22"/>
      <c r="D68" s="36">
        <f>'Simulation A1'!D68</f>
        <v>206</v>
      </c>
      <c r="E68" s="8" t="s">
        <v>63</v>
      </c>
      <c r="F68" s="37">
        <f>'Simulation A1'!F68</f>
        <v>1.1399999999999999</v>
      </c>
      <c r="G68" s="15">
        <f>-D68*F68</f>
        <v>-234.83999999999997</v>
      </c>
      <c r="H68" s="14"/>
      <c r="I68" s="14"/>
      <c r="J68"/>
    </row>
    <row r="69" spans="1:10" s="7" customFormat="1" ht="13.5" customHeight="1" x14ac:dyDescent="0.25">
      <c r="A69" s="20" t="s">
        <v>72</v>
      </c>
      <c r="B69" s="21"/>
      <c r="C69" s="22"/>
      <c r="D69" s="36">
        <f>'Simulation A1'!D69</f>
        <v>173</v>
      </c>
      <c r="E69" s="8" t="s">
        <v>63</v>
      </c>
      <c r="F69" s="99">
        <f>'Simulation A1'!F69</f>
        <v>1.38</v>
      </c>
      <c r="G69" s="15">
        <f>-D69*F69</f>
        <v>-238.73999999999998</v>
      </c>
      <c r="H69" s="14"/>
      <c r="I69" s="14"/>
      <c r="J69"/>
    </row>
    <row r="70" spans="1:10" s="7" customFormat="1" ht="13.5" customHeight="1" x14ac:dyDescent="0.25">
      <c r="A70" s="20" t="s">
        <v>73</v>
      </c>
      <c r="B70" s="21"/>
      <c r="C70" s="22"/>
      <c r="D70" s="36">
        <f>'Simulation A1'!D70</f>
        <v>45</v>
      </c>
      <c r="E70" s="8" t="s">
        <v>63</v>
      </c>
      <c r="F70" s="37">
        <f>'Simulation A1'!F70</f>
        <v>2.5</v>
      </c>
      <c r="G70" s="15">
        <f>-D70*F70</f>
        <v>-112.5</v>
      </c>
      <c r="H70" s="14"/>
      <c r="I70" s="14"/>
      <c r="J70"/>
    </row>
    <row r="71" spans="1:10" s="7" customFormat="1" ht="13.5" customHeight="1" x14ac:dyDescent="0.25">
      <c r="A71" s="20" t="s">
        <v>74</v>
      </c>
      <c r="B71" s="21"/>
      <c r="C71" s="22"/>
      <c r="D71" s="36">
        <v>20</v>
      </c>
      <c r="E71" s="8" t="s">
        <v>63</v>
      </c>
      <c r="F71" s="37">
        <v>0.5</v>
      </c>
      <c r="G71" s="15">
        <f>-D71*F71</f>
        <v>-10</v>
      </c>
      <c r="H71" s="14"/>
      <c r="I71" s="14"/>
      <c r="J71"/>
    </row>
    <row r="72" spans="1:10" ht="13.5" customHeight="1" x14ac:dyDescent="0.25">
      <c r="A72" s="17" t="s">
        <v>75</v>
      </c>
      <c r="B72" s="18"/>
      <c r="C72" s="19"/>
      <c r="D72" s="14"/>
      <c r="E72" s="14"/>
      <c r="F72" s="14"/>
      <c r="G72" s="38">
        <f>'Simulation A1'!G72</f>
        <v>-140</v>
      </c>
      <c r="H72" s="44">
        <f>$K$56</f>
        <v>0.43181818181818182</v>
      </c>
      <c r="I72" s="13">
        <f t="shared" ref="I72:I76" si="1">-G72*H72</f>
        <v>60.454545454545453</v>
      </c>
    </row>
    <row r="73" spans="1:10" ht="13.5" customHeight="1" x14ac:dyDescent="0.25">
      <c r="A73" s="17" t="s">
        <v>76</v>
      </c>
      <c r="B73" s="18"/>
      <c r="C73" s="19"/>
      <c r="D73" s="14"/>
      <c r="E73" s="14"/>
      <c r="F73" s="14"/>
      <c r="G73" s="38">
        <f>'Simulation A1'!G73</f>
        <v>-128</v>
      </c>
      <c r="H73" s="44">
        <v>0</v>
      </c>
      <c r="I73" s="13">
        <f t="shared" si="1"/>
        <v>0</v>
      </c>
    </row>
    <row r="74" spans="1:10" ht="13.5" customHeight="1" x14ac:dyDescent="0.25">
      <c r="A74" s="17" t="s">
        <v>77</v>
      </c>
      <c r="B74" s="18"/>
      <c r="C74" s="19"/>
      <c r="D74" s="14"/>
      <c r="E74" s="14"/>
      <c r="F74" s="14"/>
      <c r="G74" s="38">
        <v>-133</v>
      </c>
      <c r="H74" s="44">
        <f>$K$56</f>
        <v>0.43181818181818182</v>
      </c>
      <c r="I74" s="13">
        <f t="shared" si="1"/>
        <v>57.43181818181818</v>
      </c>
    </row>
    <row r="75" spans="1:10" ht="13.5" customHeight="1" x14ac:dyDescent="0.25">
      <c r="A75" s="17" t="s">
        <v>78</v>
      </c>
      <c r="B75" s="18"/>
      <c r="C75" s="19"/>
      <c r="D75" s="14"/>
      <c r="E75" s="14"/>
      <c r="F75" s="14"/>
      <c r="G75" s="38">
        <v>-34</v>
      </c>
      <c r="H75" s="44">
        <f>$K$56</f>
        <v>0.43181818181818182</v>
      </c>
      <c r="I75" s="13">
        <f t="shared" si="1"/>
        <v>14.681818181818182</v>
      </c>
    </row>
    <row r="76" spans="1:10" ht="13.5" customHeight="1" x14ac:dyDescent="0.25">
      <c r="A76" s="17" t="s">
        <v>79</v>
      </c>
      <c r="B76" s="18"/>
      <c r="C76" s="19"/>
      <c r="D76" s="14"/>
      <c r="E76" s="14"/>
      <c r="F76" s="14"/>
      <c r="G76" s="13">
        <f>SUM(G77:G79)</f>
        <v>265</v>
      </c>
      <c r="H76" s="44">
        <f>$K$56</f>
        <v>0.43181818181818182</v>
      </c>
      <c r="I76" s="13">
        <f t="shared" si="1"/>
        <v>-114.43181818181819</v>
      </c>
    </row>
    <row r="77" spans="1:10" s="7" customFormat="1" ht="13.5" customHeight="1" x14ac:dyDescent="0.25">
      <c r="A77" s="20" t="s">
        <v>80</v>
      </c>
      <c r="B77" s="21"/>
      <c r="C77" s="22"/>
      <c r="D77" s="36">
        <v>1</v>
      </c>
      <c r="E77" s="16" t="s">
        <v>65</v>
      </c>
      <c r="F77" s="37">
        <v>190</v>
      </c>
      <c r="G77" s="15">
        <f>D77*F77</f>
        <v>190</v>
      </c>
      <c r="H77" s="14"/>
      <c r="I77" s="14"/>
      <c r="J77"/>
    </row>
    <row r="78" spans="1:10" s="7" customFormat="1" ht="13.5" customHeight="1" x14ac:dyDescent="0.25">
      <c r="A78" s="20" t="s">
        <v>81</v>
      </c>
      <c r="B78" s="21"/>
      <c r="C78" s="22"/>
      <c r="D78" s="36"/>
      <c r="E78" s="16" t="s">
        <v>65</v>
      </c>
      <c r="F78" s="37">
        <v>350</v>
      </c>
      <c r="G78" s="15">
        <f>D78*F78</f>
        <v>0</v>
      </c>
      <c r="H78" s="14"/>
      <c r="I78" s="14"/>
      <c r="J78"/>
    </row>
    <row r="79" spans="1:10" s="7" customFormat="1" ht="13.5" customHeight="1" x14ac:dyDescent="0.25">
      <c r="A79" s="20" t="s">
        <v>82</v>
      </c>
      <c r="B79" s="21"/>
      <c r="C79" s="22"/>
      <c r="D79" s="36">
        <v>1</v>
      </c>
      <c r="E79" s="16" t="s">
        <v>65</v>
      </c>
      <c r="F79" s="37">
        <v>75</v>
      </c>
      <c r="G79" s="15">
        <f>D79*F79</f>
        <v>75</v>
      </c>
      <c r="H79" s="14"/>
      <c r="I79" s="14"/>
      <c r="J79"/>
    </row>
    <row r="80" spans="1:10" ht="13.5" customHeight="1" x14ac:dyDescent="0.25">
      <c r="A80" s="17" t="s">
        <v>38</v>
      </c>
      <c r="B80" s="18"/>
      <c r="C80" s="19"/>
      <c r="D80" s="14"/>
      <c r="E80" s="14"/>
      <c r="F80" s="14"/>
      <c r="G80" s="13">
        <f>SUM(G81:G83)</f>
        <v>-1732.7242424242427</v>
      </c>
      <c r="H80" s="44">
        <f>$K$56</f>
        <v>0.43181818181818182</v>
      </c>
      <c r="I80" s="13">
        <f t="shared" ref="I80" si="2">-G80*H80</f>
        <v>748.22183195592299</v>
      </c>
    </row>
    <row r="81" spans="1:11" s="7" customFormat="1" ht="13.5" customHeight="1" x14ac:dyDescent="0.25">
      <c r="A81" s="20" t="str">
        <f>CONCATENATE("   ",A44)</f>
        <v xml:space="preserve">   Herbe au pâturage</v>
      </c>
      <c r="B81" s="21"/>
      <c r="C81" s="22"/>
      <c r="D81" s="39">
        <f>F44</f>
        <v>110.66666666666669</v>
      </c>
      <c r="E81" s="16" t="s">
        <v>83</v>
      </c>
      <c r="F81" s="37">
        <v>1.1000000000000001</v>
      </c>
      <c r="G81" s="15">
        <f>IFERROR(-D81*F81,"")</f>
        <v>-121.73333333333336</v>
      </c>
      <c r="H81" s="14"/>
      <c r="I81" s="14"/>
      <c r="J81"/>
    </row>
    <row r="82" spans="1:11" s="7" customFormat="1" ht="13.5" customHeight="1" x14ac:dyDescent="0.25">
      <c r="A82" s="20" t="str">
        <f>CONCATENATE("   ",A45)</f>
        <v xml:space="preserve">   Foin</v>
      </c>
      <c r="B82" s="21"/>
      <c r="C82" s="22"/>
      <c r="D82" s="39">
        <f>F45</f>
        <v>17.40909090909091</v>
      </c>
      <c r="E82" s="16" t="s">
        <v>83</v>
      </c>
      <c r="F82" s="37">
        <f>'Simulation A1'!F82</f>
        <v>43</v>
      </c>
      <c r="G82" s="15">
        <f t="shared" ref="G82:G85" si="3">IFERROR(-D82*F82,"")</f>
        <v>-748.59090909090912</v>
      </c>
      <c r="H82" s="14"/>
      <c r="I82" s="14"/>
      <c r="J82"/>
    </row>
    <row r="83" spans="1:11" s="7" customFormat="1" ht="13.5" customHeight="1" x14ac:dyDescent="0.25">
      <c r="A83" s="20" t="str">
        <f>CONCATENATE("   ",A46)</f>
        <v xml:space="preserve">   Ensilage d'herbe</v>
      </c>
      <c r="B83" s="21"/>
      <c r="C83" s="22"/>
      <c r="D83" s="39">
        <f>F46</f>
        <v>77.000000000000014</v>
      </c>
      <c r="E83" s="16" t="s">
        <v>83</v>
      </c>
      <c r="F83" s="37">
        <f>'Simulation A1'!F83</f>
        <v>11.2</v>
      </c>
      <c r="G83" s="15">
        <f t="shared" si="3"/>
        <v>-862.40000000000009</v>
      </c>
      <c r="H83" s="14"/>
      <c r="I83" s="14"/>
      <c r="J83"/>
    </row>
    <row r="84" spans="1:11" s="7" customFormat="1" ht="13.5" customHeight="1" x14ac:dyDescent="0.25">
      <c r="A84" s="20" t="str">
        <f>CONCATENATE("   ",A47)</f>
        <v xml:space="preserve">   Ensilage de maïs</v>
      </c>
      <c r="B84" s="21"/>
      <c r="C84" s="22"/>
      <c r="D84" s="39">
        <f>F47</f>
        <v>36.5</v>
      </c>
      <c r="E84" s="16" t="s">
        <v>83</v>
      </c>
      <c r="F84" s="37">
        <f>'Simulation A1'!F84</f>
        <v>13.5</v>
      </c>
      <c r="G84" s="15">
        <f t="shared" si="3"/>
        <v>-492.75</v>
      </c>
      <c r="H84" s="14"/>
      <c r="I84" s="14"/>
      <c r="J84"/>
    </row>
    <row r="85" spans="1:11" s="7" customFormat="1" ht="13.5" customHeight="1" x14ac:dyDescent="0.25">
      <c r="A85" s="20" t="str">
        <f>CONCATENATE("   ",A48)</f>
        <v xml:space="preserve">   Autre fourrage de base</v>
      </c>
      <c r="B85" s="21"/>
      <c r="C85" s="22"/>
      <c r="D85" s="39" t="str">
        <f>F48</f>
        <v/>
      </c>
      <c r="E85" s="16" t="s">
        <v>83</v>
      </c>
      <c r="F85" s="37"/>
      <c r="G85" s="15" t="str">
        <f t="shared" si="3"/>
        <v/>
      </c>
      <c r="H85" s="14"/>
      <c r="I85" s="14"/>
      <c r="J85"/>
    </row>
    <row r="86" spans="1:11" ht="13.5" customHeight="1" x14ac:dyDescent="0.25">
      <c r="A86" s="17" t="s">
        <v>84</v>
      </c>
      <c r="B86" s="18"/>
      <c r="C86" s="19"/>
      <c r="D86" s="40">
        <f>2*365/100</f>
        <v>7.3</v>
      </c>
      <c r="E86" s="8" t="s">
        <v>83</v>
      </c>
      <c r="F86" s="41">
        <f>'Simulation A1'!F86</f>
        <v>23</v>
      </c>
      <c r="G86" s="13">
        <f>-D86*F86</f>
        <v>-167.9</v>
      </c>
      <c r="H86" s="44">
        <f>$K$56</f>
        <v>0.43181818181818182</v>
      </c>
      <c r="I86" s="13">
        <f t="shared" ref="I86" si="4">-G86*H86</f>
        <v>72.502272727272725</v>
      </c>
    </row>
    <row r="87" spans="1:11" ht="13.5" customHeight="1" x14ac:dyDescent="0.25">
      <c r="A87" s="1" t="s">
        <v>47</v>
      </c>
      <c r="B87" s="1"/>
      <c r="C87" s="1"/>
      <c r="D87" s="1"/>
      <c r="E87" s="1"/>
      <c r="F87" s="1"/>
      <c r="G87" s="11">
        <f>SUM(G62:G66,G72:G76,G80,G86)</f>
        <v>4148.3043290043279</v>
      </c>
      <c r="I87" s="11">
        <f>SUM(I62:I86)</f>
        <v>-1156.3263570408944</v>
      </c>
      <c r="J87" s="11"/>
    </row>
    <row r="88" spans="1:11" ht="4.9000000000000004" customHeight="1" x14ac:dyDescent="0.25"/>
    <row r="89" spans="1:11" ht="15.75" thickBot="1" x14ac:dyDescent="0.3">
      <c r="A89" s="104" t="s">
        <v>21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</row>
    <row r="90" spans="1:11" ht="13.5" customHeight="1" thickBot="1" x14ac:dyDescent="0.3">
      <c r="A90" t="s">
        <v>22</v>
      </c>
      <c r="D90" s="2"/>
      <c r="E90" s="79">
        <f>I57*K55*D62</f>
        <v>2480.6940990272074</v>
      </c>
    </row>
    <row r="91" spans="1:11" ht="4.9000000000000004" customHeight="1" x14ac:dyDescent="0.25"/>
    <row r="92" spans="1:11" x14ac:dyDescent="0.25">
      <c r="A92" s="104" t="s">
        <v>85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</row>
    <row r="93" spans="1:11" ht="4.9000000000000004" customHeight="1" x14ac:dyDescent="0.25"/>
    <row r="94" spans="1:11" ht="30" customHeight="1" x14ac:dyDescent="0.25">
      <c r="A94" s="109" t="s">
        <v>24</v>
      </c>
      <c r="B94" s="110"/>
      <c r="C94" s="88" t="s">
        <v>25</v>
      </c>
      <c r="D94" s="88" t="s">
        <v>26</v>
      </c>
      <c r="E94" s="88" t="s">
        <v>27</v>
      </c>
      <c r="F94" s="88" t="s">
        <v>28</v>
      </c>
      <c r="G94" s="124" t="s">
        <v>29</v>
      </c>
      <c r="H94" s="124"/>
      <c r="I94" s="120" t="s">
        <v>30</v>
      </c>
      <c r="J94" s="121"/>
    </row>
    <row r="95" spans="1:11" ht="13.5" customHeight="1" x14ac:dyDescent="0.25">
      <c r="A95" s="107" t="s">
        <v>86</v>
      </c>
      <c r="B95" s="108"/>
      <c r="C95" s="89">
        <f>-I57</f>
        <v>-1</v>
      </c>
      <c r="D95" s="86" t="s">
        <v>87</v>
      </c>
      <c r="E95" s="13">
        <f>I87</f>
        <v>-1156.3263570408944</v>
      </c>
      <c r="F95" s="4">
        <f>-C95*E95</f>
        <v>-1156.3263570408944</v>
      </c>
      <c r="G95" s="122">
        <f>F95/$G$10</f>
        <v>-1.0081111562871359E-2</v>
      </c>
      <c r="H95" s="122"/>
      <c r="I95" s="122">
        <f>IFERROR(F95/E90,0)</f>
        <v>-0.4661301679615969</v>
      </c>
      <c r="J95" s="122"/>
    </row>
    <row r="96" spans="1:11" ht="4.9000000000000004" customHeight="1" thickBot="1" x14ac:dyDescent="0.3">
      <c r="F96" s="5"/>
      <c r="G96" s="90"/>
      <c r="H96" s="80"/>
      <c r="I96" s="5"/>
    </row>
    <row r="97" spans="1:11" ht="13.5" customHeight="1" thickTop="1" thickBot="1" x14ac:dyDescent="0.3">
      <c r="A97" s="1" t="s">
        <v>35</v>
      </c>
      <c r="B97" s="1"/>
      <c r="F97" s="6">
        <f>SUM(F95:F95)</f>
        <v>-1156.3263570408944</v>
      </c>
      <c r="G97" s="111">
        <f>SUM(G95:G95)</f>
        <v>-1.0081111562871359E-2</v>
      </c>
      <c r="H97" s="112"/>
      <c r="I97" s="111">
        <f>SUM(I94:I95)</f>
        <v>-0.4661301679615969</v>
      </c>
      <c r="J97" s="112"/>
    </row>
    <row r="98" spans="1:11" ht="4.9000000000000004" customHeight="1" thickTop="1" x14ac:dyDescent="0.25"/>
    <row r="99" spans="1:11" ht="4.9000000000000004" customHeight="1" x14ac:dyDescent="0.25"/>
    <row r="100" spans="1:11" x14ac:dyDescent="0.25">
      <c r="A100" s="105" t="s">
        <v>88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</row>
    <row r="101" spans="1:11" ht="4.9000000000000004" customHeight="1" x14ac:dyDescent="0.25"/>
    <row r="102" spans="1:11" x14ac:dyDescent="0.25">
      <c r="A102" s="104" t="s">
        <v>12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</row>
    <row r="103" spans="1:11" ht="4.9000000000000004" customHeight="1" x14ac:dyDescent="0.25"/>
    <row r="104" spans="1:11" x14ac:dyDescent="0.25">
      <c r="A104" s="23" t="s">
        <v>89</v>
      </c>
      <c r="B104" s="24"/>
      <c r="C104" s="24"/>
      <c r="D104" s="24"/>
      <c r="E104" s="24"/>
      <c r="F104" s="24"/>
      <c r="G104" s="24"/>
      <c r="H104" s="24"/>
      <c r="I104" s="24"/>
    </row>
    <row r="105" spans="1:11" ht="13.5" customHeight="1" x14ac:dyDescent="0.25">
      <c r="A105" t="s">
        <v>90</v>
      </c>
      <c r="D105" s="31">
        <v>126</v>
      </c>
    </row>
    <row r="106" spans="1:11" ht="13.5" customHeight="1" x14ac:dyDescent="0.25">
      <c r="A106" t="s">
        <v>91</v>
      </c>
      <c r="D106" s="33">
        <f>'Simulation A1'!D106</f>
        <v>16.3</v>
      </c>
    </row>
    <row r="107" spans="1:11" ht="13.5" customHeight="1" x14ac:dyDescent="0.25">
      <c r="A107" t="s">
        <v>92</v>
      </c>
      <c r="D107" s="31">
        <v>74</v>
      </c>
    </row>
    <row r="108" spans="1:11" ht="13.5" customHeight="1" x14ac:dyDescent="0.25">
      <c r="A108" t="s">
        <v>93</v>
      </c>
      <c r="D108" s="33">
        <f>'Simulation A1'!D108</f>
        <v>8.5</v>
      </c>
    </row>
    <row r="109" spans="1:11" ht="13.5" customHeight="1" x14ac:dyDescent="0.25">
      <c r="A109" t="s">
        <v>94</v>
      </c>
      <c r="D109" s="42">
        <v>3.5000000000000003E-2</v>
      </c>
    </row>
    <row r="110" spans="1:11" ht="4.9000000000000004" customHeight="1" x14ac:dyDescent="0.25">
      <c r="A110" s="23"/>
      <c r="B110" s="24"/>
      <c r="C110" s="24"/>
      <c r="D110" s="24"/>
      <c r="E110" s="24"/>
      <c r="F110" s="24"/>
      <c r="G110" s="24"/>
      <c r="H110" s="24"/>
      <c r="I110" s="24"/>
    </row>
    <row r="111" spans="1:11" x14ac:dyDescent="0.25">
      <c r="A111" s="23" t="s">
        <v>95</v>
      </c>
      <c r="B111" s="24"/>
      <c r="C111" s="24"/>
      <c r="D111" s="24"/>
      <c r="E111" s="24"/>
      <c r="F111" s="24"/>
      <c r="G111" s="24"/>
      <c r="H111" s="24"/>
      <c r="I111" s="24"/>
    </row>
    <row r="112" spans="1:11" ht="4.9000000000000004" customHeight="1" x14ac:dyDescent="0.25"/>
    <row r="113" spans="1:11" ht="13.5" customHeight="1" x14ac:dyDescent="0.25">
      <c r="A113" s="119"/>
      <c r="B113" s="119"/>
      <c r="C113" s="119"/>
      <c r="D113" s="10" t="s">
        <v>25</v>
      </c>
      <c r="E113" s="9" t="s">
        <v>26</v>
      </c>
      <c r="F113" s="10" t="s">
        <v>58</v>
      </c>
      <c r="G113" s="135" t="s">
        <v>96</v>
      </c>
      <c r="H113" s="136"/>
    </row>
    <row r="114" spans="1:11" ht="13.5" customHeight="1" x14ac:dyDescent="0.25">
      <c r="A114" s="17" t="s">
        <v>97</v>
      </c>
      <c r="B114" s="18"/>
      <c r="C114" s="19"/>
      <c r="D114" s="25">
        <f>D105*(1-D109)</f>
        <v>121.58999999999999</v>
      </c>
      <c r="E114" s="8" t="s">
        <v>98</v>
      </c>
      <c r="F114" s="12">
        <f>D106</f>
        <v>16.3</v>
      </c>
      <c r="G114" s="113">
        <f>D114*F114</f>
        <v>1981.9169999999999</v>
      </c>
      <c r="H114" s="114"/>
    </row>
    <row r="115" spans="1:11" ht="13.5" customHeight="1" x14ac:dyDescent="0.25">
      <c r="A115" s="17" t="s">
        <v>99</v>
      </c>
      <c r="B115" s="18"/>
      <c r="C115" s="19"/>
      <c r="D115" s="26">
        <f>D107</f>
        <v>74</v>
      </c>
      <c r="E115" s="8" t="s">
        <v>100</v>
      </c>
      <c r="F115" s="12">
        <f>D108</f>
        <v>8.5</v>
      </c>
      <c r="G115" s="113">
        <f>-D115*F115</f>
        <v>-629</v>
      </c>
      <c r="H115" s="114"/>
    </row>
    <row r="116" spans="1:11" ht="13.5" customHeight="1" x14ac:dyDescent="0.25">
      <c r="A116" s="17" t="s">
        <v>101</v>
      </c>
      <c r="B116" s="18"/>
      <c r="C116" s="19"/>
      <c r="D116" s="14"/>
      <c r="E116" s="14"/>
      <c r="F116" s="14"/>
      <c r="G116" s="113">
        <f>SUM(G117:G120)</f>
        <v>-1547.15</v>
      </c>
      <c r="H116" s="114"/>
    </row>
    <row r="117" spans="1:11" s="7" customFormat="1" ht="13.5" customHeight="1" x14ac:dyDescent="0.25">
      <c r="A117" s="20" t="s">
        <v>102</v>
      </c>
      <c r="B117" s="21"/>
      <c r="C117" s="22"/>
      <c r="D117" s="36">
        <v>1350</v>
      </c>
      <c r="E117" s="8" t="s">
        <v>63</v>
      </c>
      <c r="F117" s="29">
        <f>K7</f>
        <v>0.88900000000000001</v>
      </c>
      <c r="G117" s="113">
        <f>-D117*F117</f>
        <v>-1200.1500000000001</v>
      </c>
      <c r="H117" s="114"/>
    </row>
    <row r="118" spans="1:11" s="7" customFormat="1" ht="13.5" customHeight="1" x14ac:dyDescent="0.25">
      <c r="A118" s="20" t="s">
        <v>103</v>
      </c>
      <c r="B118" s="21"/>
      <c r="C118" s="22"/>
      <c r="D118" s="36">
        <f>'Simulation A1'!D118</f>
        <v>110</v>
      </c>
      <c r="E118" s="8" t="s">
        <v>63</v>
      </c>
      <c r="F118" s="37">
        <f>'Simulation A1'!F118</f>
        <v>3.1</v>
      </c>
      <c r="G118" s="113">
        <f>-D118*F118</f>
        <v>-341</v>
      </c>
      <c r="H118" s="114"/>
    </row>
    <row r="119" spans="1:11" s="7" customFormat="1" ht="13.5" customHeight="1" x14ac:dyDescent="0.25">
      <c r="A119" s="20" t="s">
        <v>73</v>
      </c>
      <c r="B119" s="21"/>
      <c r="C119" s="22"/>
      <c r="D119" s="36">
        <v>2</v>
      </c>
      <c r="E119" s="8" t="s">
        <v>63</v>
      </c>
      <c r="F119" s="37">
        <f>'Simulation A1'!F119</f>
        <v>2.5</v>
      </c>
      <c r="G119" s="113">
        <f>-D119*F119</f>
        <v>-5</v>
      </c>
      <c r="H119" s="114"/>
    </row>
    <row r="120" spans="1:11" s="7" customFormat="1" ht="13.5" customHeight="1" x14ac:dyDescent="0.25">
      <c r="A120" s="20" t="s">
        <v>74</v>
      </c>
      <c r="B120" s="21"/>
      <c r="C120" s="22"/>
      <c r="D120" s="36">
        <v>2</v>
      </c>
      <c r="E120" s="8" t="s">
        <v>63</v>
      </c>
      <c r="F120" s="37">
        <v>0.5</v>
      </c>
      <c r="G120" s="113">
        <f>-D120*F120</f>
        <v>-1</v>
      </c>
      <c r="H120" s="114"/>
    </row>
    <row r="121" spans="1:11" ht="13.5" customHeight="1" x14ac:dyDescent="0.25">
      <c r="A121" s="17" t="s">
        <v>75</v>
      </c>
      <c r="B121" s="18"/>
      <c r="C121" s="19"/>
      <c r="D121" s="14"/>
      <c r="E121" s="14"/>
      <c r="F121" s="14"/>
      <c r="G121" s="125">
        <v>-60</v>
      </c>
      <c r="H121" s="126"/>
    </row>
    <row r="122" spans="1:11" ht="13.5" customHeight="1" x14ac:dyDescent="0.25">
      <c r="A122" s="17" t="s">
        <v>77</v>
      </c>
      <c r="B122" s="18"/>
      <c r="C122" s="19"/>
      <c r="D122" s="14"/>
      <c r="E122" s="14"/>
      <c r="F122" s="14"/>
      <c r="G122" s="125">
        <v>-49</v>
      </c>
      <c r="H122" s="126"/>
    </row>
    <row r="123" spans="1:11" ht="13.5" customHeight="1" x14ac:dyDescent="0.25">
      <c r="A123" s="17" t="s">
        <v>78</v>
      </c>
      <c r="B123" s="18"/>
      <c r="C123" s="19"/>
      <c r="D123" s="14"/>
      <c r="E123" s="14"/>
      <c r="F123" s="14"/>
      <c r="G123" s="125"/>
      <c r="H123" s="126"/>
    </row>
    <row r="124" spans="1:11" ht="13.5" customHeight="1" x14ac:dyDescent="0.25">
      <c r="A124" s="17" t="s">
        <v>43</v>
      </c>
      <c r="B124" s="18"/>
      <c r="C124" s="19"/>
      <c r="D124" s="40">
        <f>0.4/0.88</f>
        <v>0.45454545454545459</v>
      </c>
      <c r="E124" s="8" t="s">
        <v>83</v>
      </c>
      <c r="F124" s="41">
        <f>'Simulation A1'!F124</f>
        <v>43</v>
      </c>
      <c r="G124" s="113">
        <f>-D124*F124</f>
        <v>-19.545454545454547</v>
      </c>
      <c r="H124" s="114"/>
    </row>
    <row r="125" spans="1:11" ht="13.5" customHeight="1" x14ac:dyDescent="0.25">
      <c r="A125" s="17" t="s">
        <v>84</v>
      </c>
      <c r="B125" s="18"/>
      <c r="C125" s="19"/>
      <c r="D125" s="40">
        <v>2</v>
      </c>
      <c r="E125" s="8" t="s">
        <v>83</v>
      </c>
      <c r="F125" s="41">
        <f>'Simulation A1'!F125</f>
        <v>23</v>
      </c>
      <c r="G125" s="113">
        <f>-D125*F125</f>
        <v>-46</v>
      </c>
      <c r="H125" s="114"/>
    </row>
    <row r="126" spans="1:11" x14ac:dyDescent="0.25">
      <c r="A126" s="1" t="s">
        <v>47</v>
      </c>
      <c r="B126" s="1"/>
      <c r="C126" s="1"/>
      <c r="D126" s="1"/>
      <c r="E126" s="1"/>
      <c r="F126" s="1"/>
      <c r="G126" s="123">
        <f>SUM(G114:G116,G121:G123,G124,G125)</f>
        <v>-368.77845454545474</v>
      </c>
      <c r="H126" s="123"/>
    </row>
    <row r="127" spans="1:11" ht="4.9000000000000004" customHeight="1" x14ac:dyDescent="0.25"/>
    <row r="128" spans="1:11" x14ac:dyDescent="0.25">
      <c r="A128" s="104" t="s">
        <v>21</v>
      </c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</row>
    <row r="129" spans="1:11" ht="13.5" customHeight="1" thickBot="1" x14ac:dyDescent="0.3">
      <c r="A129" t="s">
        <v>104</v>
      </c>
      <c r="E129" s="84">
        <v>4</v>
      </c>
      <c r="F129" s="85" t="s">
        <v>16</v>
      </c>
    </row>
    <row r="130" spans="1:11" ht="13.5" customHeight="1" thickBot="1" x14ac:dyDescent="0.3">
      <c r="A130" t="s">
        <v>22</v>
      </c>
      <c r="D130" s="2"/>
      <c r="E130" s="79">
        <f>E129*D117</f>
        <v>5400</v>
      </c>
    </row>
    <row r="131" spans="1:11" ht="4.9000000000000004" customHeight="1" x14ac:dyDescent="0.25"/>
    <row r="132" spans="1:11" x14ac:dyDescent="0.25">
      <c r="A132" s="104" t="s">
        <v>85</v>
      </c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</row>
    <row r="133" spans="1:11" ht="4.9000000000000004" customHeight="1" x14ac:dyDescent="0.25"/>
    <row r="134" spans="1:11" ht="30" customHeight="1" x14ac:dyDescent="0.25">
      <c r="A134" s="109" t="s">
        <v>24</v>
      </c>
      <c r="B134" s="110"/>
      <c r="C134" s="88" t="s">
        <v>25</v>
      </c>
      <c r="D134" s="88" t="s">
        <v>26</v>
      </c>
      <c r="E134" s="88" t="s">
        <v>27</v>
      </c>
      <c r="F134" s="88" t="s">
        <v>28</v>
      </c>
      <c r="G134" s="124" t="s">
        <v>29</v>
      </c>
      <c r="H134" s="124"/>
      <c r="I134" s="120" t="s">
        <v>30</v>
      </c>
      <c r="J134" s="121"/>
    </row>
    <row r="135" spans="1:11" ht="13.5" customHeight="1" x14ac:dyDescent="0.25">
      <c r="A135" s="107" t="s">
        <v>105</v>
      </c>
      <c r="B135" s="108"/>
      <c r="C135" s="89">
        <f>E129</f>
        <v>4</v>
      </c>
      <c r="D135" s="86" t="s">
        <v>106</v>
      </c>
      <c r="E135" s="13">
        <f>G126</f>
        <v>-368.77845454545474</v>
      </c>
      <c r="F135" s="4">
        <f>C135*E135</f>
        <v>-1475.1138181818189</v>
      </c>
      <c r="G135" s="122">
        <f>F135/$G$10</f>
        <v>-1.2860371882449564E-2</v>
      </c>
      <c r="H135" s="122"/>
      <c r="I135" s="122">
        <f>IFERROR(F135/E130,0)</f>
        <v>-0.27316922558922574</v>
      </c>
      <c r="J135" s="122"/>
    </row>
    <row r="136" spans="1:11" ht="4.9000000000000004" customHeight="1" thickBot="1" x14ac:dyDescent="0.3">
      <c r="F136" s="5"/>
      <c r="G136" s="90"/>
      <c r="H136" s="80"/>
      <c r="I136" s="5"/>
    </row>
    <row r="137" spans="1:11" ht="13.5" customHeight="1" thickTop="1" thickBot="1" x14ac:dyDescent="0.3">
      <c r="A137" s="1" t="s">
        <v>35</v>
      </c>
      <c r="B137" s="1"/>
      <c r="F137" s="6">
        <f>SUM(F135:F135)</f>
        <v>-1475.1138181818189</v>
      </c>
      <c r="G137" s="111">
        <f>SUM(G135:G135)</f>
        <v>-1.2860371882449564E-2</v>
      </c>
      <c r="H137" s="112"/>
      <c r="I137" s="111">
        <f>SUM(I134:I135)</f>
        <v>-0.27316922558922574</v>
      </c>
      <c r="J137" s="112"/>
    </row>
    <row r="138" spans="1:11" ht="4.9000000000000004" customHeight="1" thickTop="1" x14ac:dyDescent="0.25"/>
    <row r="139" spans="1:11" x14ac:dyDescent="0.25">
      <c r="A139" s="105" t="s">
        <v>107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</row>
    <row r="140" spans="1:11" ht="4.9000000000000004" customHeight="1" x14ac:dyDescent="0.25"/>
    <row r="141" spans="1:11" ht="30" customHeight="1" x14ac:dyDescent="0.25">
      <c r="A141" s="109" t="s">
        <v>24</v>
      </c>
      <c r="B141" s="110"/>
      <c r="C141" s="88" t="s">
        <v>25</v>
      </c>
      <c r="D141" s="88" t="s">
        <v>26</v>
      </c>
      <c r="E141" s="88" t="s">
        <v>27</v>
      </c>
      <c r="F141" s="88" t="s">
        <v>28</v>
      </c>
      <c r="G141" s="124" t="s">
        <v>29</v>
      </c>
      <c r="H141" s="124"/>
    </row>
    <row r="142" spans="1:11" ht="13.5" customHeight="1" x14ac:dyDescent="0.25">
      <c r="A142" s="107" t="s">
        <v>108</v>
      </c>
      <c r="B142" s="108"/>
      <c r="C142" s="13">
        <f>G10</f>
        <v>114702.26768441228</v>
      </c>
      <c r="D142" s="86" t="s">
        <v>34</v>
      </c>
      <c r="E142" s="87">
        <f>K12</f>
        <v>0.04</v>
      </c>
      <c r="F142" s="4">
        <f>C142*E142</f>
        <v>4588.0907073764911</v>
      </c>
      <c r="G142" s="122">
        <f>F142/$G$10</f>
        <v>0.04</v>
      </c>
      <c r="H142" s="122"/>
    </row>
    <row r="143" spans="1:11" x14ac:dyDescent="0.25"/>
    <row r="144" spans="1:11" x14ac:dyDescent="0.25">
      <c r="A144" s="105" t="s">
        <v>109</v>
      </c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</row>
    <row r="145" spans="1:11" ht="4.5" customHeight="1" x14ac:dyDescent="0.25">
      <c r="I145" s="78">
        <f>F34</f>
        <v>0</v>
      </c>
    </row>
    <row r="146" spans="1:11" s="98" customFormat="1" ht="30" customHeight="1" x14ac:dyDescent="0.25">
      <c r="A146" s="95" t="s">
        <v>110</v>
      </c>
      <c r="B146" s="96"/>
      <c r="C146" s="96"/>
      <c r="D146" s="96"/>
      <c r="E146" s="96"/>
      <c r="F146" s="96"/>
      <c r="G146" s="97" t="s">
        <v>28</v>
      </c>
      <c r="H146" s="120" t="s">
        <v>111</v>
      </c>
      <c r="I146" s="121"/>
      <c r="J146" s="120" t="s">
        <v>30</v>
      </c>
      <c r="K146" s="121"/>
    </row>
    <row r="147" spans="1:11" s="94" customFormat="1" ht="30" customHeight="1" x14ac:dyDescent="0.25">
      <c r="A147" s="137" t="s">
        <v>112</v>
      </c>
      <c r="B147" s="138"/>
      <c r="C147" s="138"/>
      <c r="D147" s="138"/>
      <c r="E147" s="138"/>
      <c r="F147" s="138"/>
      <c r="G147" s="93">
        <f>F35</f>
        <v>-1327.8104713375792</v>
      </c>
      <c r="H147" s="133">
        <f>G147/$G$10</f>
        <v>-1.1576148389593042E-2</v>
      </c>
      <c r="I147" s="134"/>
      <c r="J147" s="133">
        <f>I35</f>
        <v>-0.27004273972602733</v>
      </c>
      <c r="K147" s="134"/>
    </row>
    <row r="148" spans="1:11" x14ac:dyDescent="0.25">
      <c r="A148" s="17" t="s">
        <v>113</v>
      </c>
      <c r="B148" s="18"/>
      <c r="C148" s="18"/>
      <c r="D148" s="18"/>
      <c r="E148" s="18"/>
      <c r="F148" s="18"/>
      <c r="G148" s="13">
        <f>F97</f>
        <v>-1156.3263570408944</v>
      </c>
      <c r="H148" s="133">
        <f t="shared" ref="H148:H151" si="5">G148/$G$10</f>
        <v>-1.0081111562871359E-2</v>
      </c>
      <c r="I148" s="134"/>
      <c r="J148" s="133">
        <f>I97</f>
        <v>-0.4661301679615969</v>
      </c>
      <c r="K148" s="134"/>
    </row>
    <row r="149" spans="1:11" x14ac:dyDescent="0.25">
      <c r="A149" s="17" t="s">
        <v>114</v>
      </c>
      <c r="B149" s="18"/>
      <c r="C149" s="18"/>
      <c r="D149" s="18"/>
      <c r="E149" s="18"/>
      <c r="F149" s="18"/>
      <c r="G149" s="13">
        <f>F137</f>
        <v>-1475.1138181818189</v>
      </c>
      <c r="H149" s="133">
        <f t="shared" si="5"/>
        <v>-1.2860371882449564E-2</v>
      </c>
      <c r="I149" s="134"/>
      <c r="J149" s="133">
        <f>I137</f>
        <v>-0.27316922558922574</v>
      </c>
      <c r="K149" s="134"/>
    </row>
    <row r="150" spans="1:11" ht="15.75" thickBot="1" x14ac:dyDescent="0.3">
      <c r="A150" s="17" t="s">
        <v>115</v>
      </c>
      <c r="B150" s="18"/>
      <c r="C150" s="18"/>
      <c r="D150" s="18"/>
      <c r="E150" s="18"/>
      <c r="F150" s="18"/>
      <c r="G150" s="92">
        <f>F142</f>
        <v>4588.0907073764911</v>
      </c>
      <c r="H150" s="144">
        <f t="shared" si="5"/>
        <v>0.04</v>
      </c>
      <c r="I150" s="145"/>
    </row>
    <row r="151" spans="1:11" ht="16.5" thickTop="1" thickBot="1" x14ac:dyDescent="0.3">
      <c r="A151" s="1" t="s">
        <v>116</v>
      </c>
      <c r="B151" s="1"/>
      <c r="C151" s="1"/>
      <c r="D151" s="1"/>
      <c r="E151" s="1"/>
      <c r="F151" s="1"/>
      <c r="G151" s="81">
        <f>SUM(G147:G150)</f>
        <v>628.84006081619827</v>
      </c>
      <c r="H151" s="142">
        <f t="shared" si="5"/>
        <v>5.482368165086033E-3</v>
      </c>
      <c r="I151" s="143"/>
    </row>
    <row r="152" spans="1:11" ht="6" customHeight="1" thickTop="1" x14ac:dyDescent="0.25"/>
    <row r="153" spans="1:11" ht="15" customHeight="1" x14ac:dyDescent="0.25"/>
  </sheetData>
  <sheetProtection sheet="1" objects="1" scenarios="1"/>
  <mergeCells count="92">
    <mergeCell ref="H151:I151"/>
    <mergeCell ref="J147:K147"/>
    <mergeCell ref="H147:I147"/>
    <mergeCell ref="H148:I148"/>
    <mergeCell ref="H149:I149"/>
    <mergeCell ref="H150:I150"/>
    <mergeCell ref="J148:K148"/>
    <mergeCell ref="J149:K149"/>
    <mergeCell ref="A128:K128"/>
    <mergeCell ref="A132:K132"/>
    <mergeCell ref="A134:B134"/>
    <mergeCell ref="G134:H134"/>
    <mergeCell ref="A135:B135"/>
    <mergeCell ref="G135:H135"/>
    <mergeCell ref="I134:J134"/>
    <mergeCell ref="I135:J135"/>
    <mergeCell ref="A147:F147"/>
    <mergeCell ref="A144:K144"/>
    <mergeCell ref="G137:H137"/>
    <mergeCell ref="A139:K139"/>
    <mergeCell ref="A141:B141"/>
    <mergeCell ref="G141:H141"/>
    <mergeCell ref="A142:B142"/>
    <mergeCell ref="G142:H142"/>
    <mergeCell ref="I137:J137"/>
    <mergeCell ref="J146:K146"/>
    <mergeCell ref="H146:I146"/>
    <mergeCell ref="G126:H126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14:H114"/>
    <mergeCell ref="I97:J97"/>
    <mergeCell ref="A61:C61"/>
    <mergeCell ref="A89:K89"/>
    <mergeCell ref="A92:K92"/>
    <mergeCell ref="A94:B94"/>
    <mergeCell ref="G94:H94"/>
    <mergeCell ref="A95:B95"/>
    <mergeCell ref="G95:H95"/>
    <mergeCell ref="I94:J94"/>
    <mergeCell ref="I95:J95"/>
    <mergeCell ref="G97:H97"/>
    <mergeCell ref="A100:K100"/>
    <mergeCell ref="A102:K102"/>
    <mergeCell ref="A113:C113"/>
    <mergeCell ref="G113:H113"/>
    <mergeCell ref="A39:K39"/>
    <mergeCell ref="C49:D49"/>
    <mergeCell ref="F49:G49"/>
    <mergeCell ref="C44:D44"/>
    <mergeCell ref="F44:G44"/>
    <mergeCell ref="A45:B45"/>
    <mergeCell ref="C45:D45"/>
    <mergeCell ref="F45:G45"/>
    <mergeCell ref="C46:D46"/>
    <mergeCell ref="F46:G46"/>
    <mergeCell ref="C47:D47"/>
    <mergeCell ref="F47:G47"/>
    <mergeCell ref="A48:B48"/>
    <mergeCell ref="C48:D48"/>
    <mergeCell ref="F48:G48"/>
    <mergeCell ref="C43:D43"/>
    <mergeCell ref="F43:G43"/>
    <mergeCell ref="I33:J33"/>
    <mergeCell ref="I35:J35"/>
    <mergeCell ref="A26:K26"/>
    <mergeCell ref="A29:K29"/>
    <mergeCell ref="A31:B31"/>
    <mergeCell ref="G31:H31"/>
    <mergeCell ref="A32:B32"/>
    <mergeCell ref="G32:H32"/>
    <mergeCell ref="I31:J31"/>
    <mergeCell ref="I32:J32"/>
    <mergeCell ref="A33:B33"/>
    <mergeCell ref="G33:H33"/>
    <mergeCell ref="G35:H35"/>
    <mergeCell ref="A37:K37"/>
    <mergeCell ref="A17:K17"/>
    <mergeCell ref="A1:B1"/>
    <mergeCell ref="C1:K1"/>
    <mergeCell ref="A3:K3"/>
    <mergeCell ref="D5:E5"/>
    <mergeCell ref="A15:K15"/>
  </mergeCells>
  <conditionalFormatting sqref="A6:E6">
    <cfRule type="expression" dxfId="9" priority="1">
      <formula>$D$5="Modèle de planification"</formula>
    </cfRule>
  </conditionalFormatting>
  <conditionalFormatting sqref="E6">
    <cfRule type="expression" dxfId="8" priority="2">
      <formula>$D$5="Modèle de planification"</formula>
    </cfRule>
  </conditionalFormatting>
  <dataValidations count="7">
    <dataValidation allowBlank="1" showInputMessage="1" showErrorMessage="1" prompt="Si option non retenue, mettre 0" sqref="F20 I57 E129" xr:uid="{E73AFC71-FBD4-430F-8BCC-A016DF450192}"/>
    <dataValidation type="list" allowBlank="1" showInputMessage="1" showErrorMessage="1" sqref="D5:E5" xr:uid="{585A7B79-E70E-4690-A7D6-5BDCE700A3E8}">
      <formula1>"Modèle de base,Modèle de planification"</formula1>
    </dataValidation>
    <dataValidation type="whole" allowBlank="1" showInputMessage="1" showErrorMessage="1" prompt="Saisir ici le nombre de semaine de lactation moyen (entre 3 et 44) des vaches qui seront réformées prématurément pour diminuer le troupeau de vaches laitières" sqref="D56" xr:uid="{AED3CB92-EF8D-4EE0-B3C7-29793520BC7F}">
      <formula1>3</formula1>
      <formula2>44</formula2>
    </dataValidation>
    <dataValidation allowBlank="1" showInputMessage="1" showErrorMessage="1" prompt="Saisir ici le nombre de semaine de lactation moyen des vaches qui seront réformées prématurément pour diminuer le troupeau de vaches laitières" sqref="D57" xr:uid="{D0D0963E-68E0-418A-B17A-46D1B5AE4B3B}"/>
    <dataValidation type="whole" allowBlank="1" showInputMessage="1" showErrorMessage="1" prompt="C'est une charge. Saisir une valeur négative." sqref="G80" xr:uid="{1D2BD28B-A00A-4598-B93D-98F37AD16358}">
      <formula1>-2000</formula1>
      <formula2>0</formula2>
    </dataValidation>
    <dataValidation allowBlank="1" showInputMessage="1" showErrorMessage="1" prompt="Base de calcul : valeur d'une coupe d'herbe de 15 dt = Fr. 110.- à 15% de M.S." sqref="F81" xr:uid="{0F1FB32D-E9E7-46B7-8BDF-BA3E9EBE37A1}"/>
    <dataValidation type="whole" allowBlank="1" showInputMessage="1" showErrorMessage="1" prompt="C'est une charge. Saisir une valeur négative." sqref="G72:G76 G121:G123" xr:uid="{6E0F03A1-80DD-481D-8014-70828D252396}">
      <formula1>-1000</formula1>
      <formula2>0</formula2>
    </dataValidation>
  </dataValidations>
  <pageMargins left="0.23622047244094491" right="0.23622047244094491" top="0.27559055118110237" bottom="0.27559055118110237" header="0.19685039370078741" footer="7.874015748031496E-2"/>
  <pageSetup paperSize="9" orientation="landscape" cellComments="asDisplayed" r:id="rId1"/>
  <headerFooter>
    <oddFooter>&amp;LFRI&amp;R&amp;D</oddFooter>
  </headerFooter>
  <rowBreaks count="3" manualBreakCount="3">
    <brk id="36" max="16383" man="1"/>
    <brk id="99" max="16383" man="1"/>
    <brk id="1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3B71-8B2E-4DBC-88A3-DAED859F70A6}">
  <dimension ref="A1:T153"/>
  <sheetViews>
    <sheetView showGridLines="0" topLeftCell="A48" zoomScale="114" zoomScaleNormal="115" workbookViewId="0">
      <selection activeCell="H23" sqref="H23"/>
    </sheetView>
  </sheetViews>
  <sheetFormatPr baseColWidth="10" defaultColWidth="0" defaultRowHeight="15" customHeight="1" zeroHeight="1" x14ac:dyDescent="0.25"/>
  <cols>
    <col min="1" max="11" width="12.7109375" customWidth="1"/>
    <col min="12" max="12" width="0.7109375" customWidth="1"/>
    <col min="13" max="13" width="30.5703125" hidden="1" customWidth="1"/>
    <col min="14" max="14" width="10.85546875" hidden="1" customWidth="1"/>
    <col min="15" max="15" width="14.7109375" hidden="1" customWidth="1"/>
    <col min="16" max="16" width="7.7109375" hidden="1" customWidth="1"/>
    <col min="17" max="17" width="14.7109375" hidden="1" customWidth="1"/>
    <col min="18" max="18" width="7.7109375" hidden="1" customWidth="1"/>
    <col min="19" max="19" width="14.7109375" hidden="1" customWidth="1"/>
    <col min="20" max="20" width="7.7109375" hidden="1" customWidth="1"/>
    <col min="21" max="16384" width="11.42578125" hidden="1"/>
  </cols>
  <sheetData>
    <row r="1" spans="1:11" ht="21.75" thickBot="1" x14ac:dyDescent="0.4">
      <c r="A1" s="127" t="s">
        <v>121</v>
      </c>
      <c r="B1" s="127"/>
      <c r="C1" s="128" t="s">
        <v>137</v>
      </c>
      <c r="D1" s="128"/>
      <c r="E1" s="128"/>
      <c r="F1" s="128"/>
      <c r="G1" s="128"/>
      <c r="H1" s="128"/>
      <c r="I1" s="128"/>
      <c r="J1" s="128"/>
      <c r="K1" s="128"/>
    </row>
    <row r="2" spans="1:11" ht="4.5" customHeight="1" thickBot="1" x14ac:dyDescent="0.3"/>
    <row r="3" spans="1:11" ht="27" customHeight="1" thickBot="1" x14ac:dyDescent="0.3">
      <c r="A3" s="129" t="str">
        <f>'Simulation A1'!A3</f>
        <v xml:space="preserve">Hypothèse de prix du lait de février à juin selon information Mooh du 14.01.2026 incluant la contribution fédérale de 5cts. Spécificité du modèle de planification : bonus 1.5 cts sur l’ensemble du volume de lait livré, pénalité moyenne de 32.8 cts par kg de lait surlivré. Spécificité du modèle de base 4% valorisé en lait C à 21cts. </v>
      </c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4.5" customHeight="1" x14ac:dyDescent="0.25"/>
    <row r="5" spans="1:11" ht="13.5" customHeight="1" x14ac:dyDescent="0.25">
      <c r="A5" t="s">
        <v>1</v>
      </c>
      <c r="D5" s="132" t="s">
        <v>119</v>
      </c>
      <c r="E5" s="132"/>
      <c r="G5" t="s">
        <v>3</v>
      </c>
      <c r="K5" s="31">
        <v>150</v>
      </c>
    </row>
    <row r="6" spans="1:11" ht="13.5" customHeight="1" x14ac:dyDescent="0.25">
      <c r="A6" s="71" t="str">
        <f>IF(D5="Modèle de base","",IF(D5="Modèle de planification","Quantité mensuelle annoncée [kg]"))</f>
        <v/>
      </c>
      <c r="B6" s="71"/>
      <c r="C6" s="71"/>
      <c r="D6" s="71"/>
      <c r="E6" s="72"/>
      <c r="G6" t="s">
        <v>4</v>
      </c>
      <c r="K6" s="50">
        <f>'Simulation A1'!K6</f>
        <v>0.84943999999999997</v>
      </c>
    </row>
    <row r="7" spans="1:11" ht="13.5" customHeight="1" x14ac:dyDescent="0.25">
      <c r="A7" t="s">
        <v>5</v>
      </c>
      <c r="E7" s="31">
        <f>'Simulation A1'!E7</f>
        <v>306000</v>
      </c>
      <c r="G7" t="s">
        <v>6</v>
      </c>
      <c r="K7" s="50">
        <f>'Simulation A1'!K7</f>
        <v>0.88900000000000001</v>
      </c>
    </row>
    <row r="8" spans="1:11" ht="13.5" customHeight="1" x14ac:dyDescent="0.25">
      <c r="A8" t="s">
        <v>7</v>
      </c>
      <c r="E8" s="31">
        <f>'Simulation A1'!E8</f>
        <v>127500</v>
      </c>
      <c r="G8" t="s">
        <v>8</v>
      </c>
      <c r="H8" s="73"/>
      <c r="I8" s="73"/>
      <c r="J8" s="73"/>
      <c r="K8" s="50">
        <f>'Simulation A1'!K8</f>
        <v>0.56100000000000017</v>
      </c>
    </row>
    <row r="9" spans="1:11" ht="13.5" customHeight="1" thickBot="1" x14ac:dyDescent="0.3">
      <c r="A9" t="s">
        <v>9</v>
      </c>
      <c r="G9" s="31">
        <v>134000</v>
      </c>
      <c r="I9" s="69"/>
      <c r="J9" s="74" t="s">
        <v>139</v>
      </c>
      <c r="K9" s="66">
        <f>(G9/E8)-1</f>
        <v>5.0980392156862786E-2</v>
      </c>
    </row>
    <row r="10" spans="1:11" ht="13.5" customHeight="1" thickTop="1" thickBot="1" x14ac:dyDescent="0.3">
      <c r="A10" t="s">
        <v>10</v>
      </c>
      <c r="G10" s="67">
        <f>G9-E27-E90-E130</f>
        <v>120972.96832135496</v>
      </c>
      <c r="I10" s="69"/>
      <c r="J10" s="74" t="s">
        <v>140</v>
      </c>
      <c r="K10" s="68">
        <f>(G10/E8)-1</f>
        <v>-5.1192405322706191E-2</v>
      </c>
    </row>
    <row r="11" spans="1:11" ht="13.5" customHeight="1" thickTop="1" thickBot="1" x14ac:dyDescent="0.3">
      <c r="A11" t="str">
        <f>IF(D5="Modèle de base","Diminution de quantité par rapport à la même période 2025 [kg]",IF(D5="Modèle de planification","Surlivraisons dans le modèle de planification [kg]",""))</f>
        <v>Diminution de quantité par rapport à la même période 2025 [kg]</v>
      </c>
      <c r="F11" s="77">
        <f>IF(D5="Modèle de planification",IF(G10-(E6*5)&lt;=0,0,G10-(E6*5)),IF(D5="Modèle de base",IF(E8-G10&lt;0,0,E8-G10),""))</f>
        <v>6527.0316786450421</v>
      </c>
      <c r="H11" s="70"/>
      <c r="I11" s="69"/>
      <c r="J11" s="74" t="str">
        <f>IF(D5="Modèle de planification","Taux de surlivraison en modèle planification","")</f>
        <v/>
      </c>
      <c r="K11" s="66" t="str">
        <f>IF(D5="Modèle de planification",IF(F11&gt;0,F11/(E6*5),0),"")</f>
        <v/>
      </c>
    </row>
    <row r="12" spans="1:11" ht="13.5" customHeight="1" thickBot="1" x14ac:dyDescent="0.3">
      <c r="H12" s="70"/>
      <c r="I12" s="69"/>
      <c r="J12" s="74" t="str">
        <f>IF(D5="Modèle de base","Supplément de prix pour diminution de la quantité produit en modèle de base [Fr./kg]",IF(D5="Modèle de planification","Diminution de prix pour surlivraison en modèle planification [Fr./kg]"))</f>
        <v>Supplément de prix pour diminution de la quantité produit en modèle de base [Fr./kg]</v>
      </c>
      <c r="K12" s="75">
        <f>IF(D5="Modèle de planification",-K11*(K7-K8),IF(D5="Modèle de base",IF(K10&lt;=-0.1,0.04,IF(K10&lt;=-0.05,0.02,0))))</f>
        <v>0.02</v>
      </c>
    </row>
    <row r="13" spans="1:11" ht="13.5" customHeight="1" thickTop="1" thickBot="1" x14ac:dyDescent="0.3">
      <c r="C13" s="78"/>
      <c r="G13" s="75"/>
      <c r="J13" s="74" t="str">
        <f>IF(D5="Modèle de planification","Prix du lait après éventuelles réductions pour surlivraisons [Fr./kg]",IF(D5="Modèle de base","Prix du lait après mesures volontaire de réduction [Fr./kg]"))</f>
        <v>Prix du lait après mesures volontaire de réduction [Fr./kg]</v>
      </c>
      <c r="K13" s="76">
        <f>IF(D5="Modèle de base",SUM(K6,K12),IF(D5="Modèle de planification",SUM(K7,K12)))</f>
        <v>0.86943999999999999</v>
      </c>
    </row>
    <row r="14" spans="1:11" ht="4.5" customHeight="1" thickTop="1" x14ac:dyDescent="0.25"/>
    <row r="15" spans="1:11" ht="15" customHeight="1" x14ac:dyDescent="0.25">
      <c r="A15" s="105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4.5" customHeight="1" x14ac:dyDescent="0.25"/>
    <row r="17" spans="1:11" x14ac:dyDescent="0.25">
      <c r="A17" s="104" t="s">
        <v>12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ht="13.5" customHeight="1" x14ac:dyDescent="0.25">
      <c r="A18" t="s">
        <v>13</v>
      </c>
      <c r="F18" s="30">
        <f>'Simulation A1'!F18</f>
        <v>7.3</v>
      </c>
      <c r="H18" s="101"/>
      <c r="I18" s="101"/>
      <c r="J18" s="101"/>
      <c r="K18" s="101"/>
    </row>
    <row r="19" spans="1:11" ht="13.5" customHeight="1" x14ac:dyDescent="0.25">
      <c r="A19" t="s">
        <v>14</v>
      </c>
      <c r="F19" s="30">
        <f>'Simulation A1'!F19</f>
        <v>144</v>
      </c>
      <c r="H19" s="101"/>
      <c r="I19" s="101"/>
      <c r="J19" s="101"/>
      <c r="K19" s="101"/>
    </row>
    <row r="20" spans="1:11" ht="13.5" customHeight="1" x14ac:dyDescent="0.25">
      <c r="A20" t="s">
        <v>15</v>
      </c>
      <c r="F20" s="82">
        <v>75</v>
      </c>
      <c r="G20" s="85" t="s">
        <v>16</v>
      </c>
      <c r="H20" s="101"/>
      <c r="I20" s="101"/>
      <c r="J20" s="101"/>
      <c r="K20" s="101"/>
    </row>
    <row r="21" spans="1:11" ht="13.5" customHeight="1" x14ac:dyDescent="0.25">
      <c r="A21" t="s">
        <v>17</v>
      </c>
      <c r="F21" s="2">
        <f>F20/150</f>
        <v>0.5</v>
      </c>
      <c r="H21" s="101"/>
      <c r="I21" s="101"/>
      <c r="J21" s="101"/>
      <c r="K21" s="101"/>
    </row>
    <row r="22" spans="1:11" ht="13.5" customHeight="1" x14ac:dyDescent="0.25">
      <c r="A22" t="s">
        <v>18</v>
      </c>
      <c r="E22" s="3"/>
      <c r="F22">
        <v>45</v>
      </c>
      <c r="H22" s="101"/>
      <c r="I22" s="101"/>
      <c r="J22" s="101"/>
      <c r="K22" s="101"/>
    </row>
    <row r="23" spans="1:11" ht="13.5" customHeight="1" x14ac:dyDescent="0.25">
      <c r="A23" t="s">
        <v>19</v>
      </c>
      <c r="D23" s="5"/>
      <c r="F23" s="3">
        <f>F20*F18/3.14</f>
        <v>174.36305732484075</v>
      </c>
    </row>
    <row r="24" spans="1:11" ht="13.5" customHeight="1" x14ac:dyDescent="0.25">
      <c r="A24" t="s">
        <v>20</v>
      </c>
      <c r="F24" s="2">
        <f>F23/150</f>
        <v>1.1624203821656049</v>
      </c>
    </row>
    <row r="25" spans="1:11" ht="4.5" customHeight="1" x14ac:dyDescent="0.25">
      <c r="D25" s="2"/>
      <c r="E25" s="28"/>
    </row>
    <row r="26" spans="1:11" ht="15.75" thickBot="1" x14ac:dyDescent="0.3">
      <c r="A26" s="104" t="s">
        <v>21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1" ht="13.5" customHeight="1" thickBot="1" x14ac:dyDescent="0.3">
      <c r="A27" t="s">
        <v>22</v>
      </c>
      <c r="D27" s="2"/>
      <c r="E27" s="79">
        <f>(F23*F22)</f>
        <v>7846.3375796178343</v>
      </c>
    </row>
    <row r="28" spans="1:11" ht="4.9000000000000004" customHeight="1" x14ac:dyDescent="0.25">
      <c r="D28" s="2"/>
      <c r="E28" s="3"/>
    </row>
    <row r="29" spans="1:11" x14ac:dyDescent="0.25">
      <c r="A29" s="104" t="s">
        <v>23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1" ht="4.9000000000000004" customHeight="1" x14ac:dyDescent="0.25"/>
    <row r="31" spans="1:11" ht="30" customHeight="1" x14ac:dyDescent="0.25">
      <c r="A31" s="109" t="s">
        <v>24</v>
      </c>
      <c r="B31" s="110"/>
      <c r="C31" s="88" t="s">
        <v>25</v>
      </c>
      <c r="D31" s="88" t="s">
        <v>26</v>
      </c>
      <c r="E31" s="88" t="s">
        <v>27</v>
      </c>
      <c r="F31" s="88" t="s">
        <v>28</v>
      </c>
      <c r="G31" s="124" t="s">
        <v>29</v>
      </c>
      <c r="H31" s="124"/>
      <c r="I31" s="120" t="s">
        <v>30</v>
      </c>
      <c r="J31" s="121"/>
    </row>
    <row r="32" spans="1:11" ht="13.5" customHeight="1" x14ac:dyDescent="0.25">
      <c r="A32" s="107" t="s">
        <v>31</v>
      </c>
      <c r="B32" s="108"/>
      <c r="C32" s="8">
        <f>-F20*F22/100</f>
        <v>-33.75</v>
      </c>
      <c r="D32" s="86" t="s">
        <v>32</v>
      </c>
      <c r="E32" s="8">
        <f>F19</f>
        <v>144</v>
      </c>
      <c r="F32" s="4">
        <f>-C32*E32</f>
        <v>4860</v>
      </c>
      <c r="G32" s="122">
        <f>F32/$G$10</f>
        <v>4.0174264279353722E-2</v>
      </c>
      <c r="H32" s="122"/>
      <c r="I32" s="122">
        <f>IFERROR(F32/E27,0)</f>
        <v>0.61939726027397257</v>
      </c>
      <c r="J32" s="122"/>
    </row>
    <row r="33" spans="1:11" ht="13.5" customHeight="1" x14ac:dyDescent="0.25">
      <c r="A33" s="107" t="s">
        <v>33</v>
      </c>
      <c r="B33" s="108"/>
      <c r="C33" s="13">
        <f>-E27</f>
        <v>-7846.3375796178343</v>
      </c>
      <c r="D33" s="86" t="s">
        <v>34</v>
      </c>
      <c r="E33" s="87">
        <f>K13</f>
        <v>0.86943999999999999</v>
      </c>
      <c r="F33" s="4">
        <f>C33*E33</f>
        <v>-6821.91974522293</v>
      </c>
      <c r="G33" s="122">
        <f>F33/$G$10</f>
        <v>-5.6392100151672307E-2</v>
      </c>
      <c r="H33" s="122"/>
      <c r="I33" s="122">
        <f>IFERROR(F33/E27,0)</f>
        <v>-0.86943999999999999</v>
      </c>
      <c r="J33" s="122"/>
    </row>
    <row r="34" spans="1:11" ht="4.9000000000000004" customHeight="1" thickBot="1" x14ac:dyDescent="0.3">
      <c r="F34" s="5"/>
      <c r="G34" s="5"/>
      <c r="I34" s="5"/>
    </row>
    <row r="35" spans="1:11" ht="13.5" customHeight="1" thickTop="1" thickBot="1" x14ac:dyDescent="0.3">
      <c r="A35" s="1" t="s">
        <v>35</v>
      </c>
      <c r="B35" s="1"/>
      <c r="F35" s="6">
        <f>SUM(F32:F33)</f>
        <v>-1961.91974522293</v>
      </c>
      <c r="G35" s="111">
        <f>SUM(G32:G33)</f>
        <v>-1.6217835872318585E-2</v>
      </c>
      <c r="H35" s="112"/>
      <c r="I35" s="111">
        <f>SUM(I32:I33)</f>
        <v>-0.25004273972602742</v>
      </c>
      <c r="J35" s="112"/>
    </row>
    <row r="36" spans="1:11" ht="4.9000000000000004" customHeight="1" thickTop="1" x14ac:dyDescent="0.25"/>
    <row r="37" spans="1:11" x14ac:dyDescent="0.25">
      <c r="A37" s="105" t="s">
        <v>36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1" ht="4.5" customHeight="1" x14ac:dyDescent="0.25"/>
    <row r="39" spans="1:11" x14ac:dyDescent="0.25">
      <c r="A39" s="104" t="s">
        <v>12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ht="4.9000000000000004" customHeight="1" x14ac:dyDescent="0.25"/>
    <row r="41" spans="1:11" x14ac:dyDescent="0.25">
      <c r="A41" s="23" t="s">
        <v>37</v>
      </c>
      <c r="B41" s="24"/>
      <c r="C41" s="24"/>
      <c r="D41" s="24"/>
      <c r="E41" s="24"/>
      <c r="F41" s="24"/>
      <c r="G41" s="24"/>
      <c r="H41" s="24"/>
      <c r="I41" s="24"/>
    </row>
    <row r="42" spans="1:11" ht="4.9000000000000004" customHeight="1" x14ac:dyDescent="0.25"/>
    <row r="43" spans="1:11" ht="13.5" customHeight="1" x14ac:dyDescent="0.25">
      <c r="A43" s="9" t="s">
        <v>38</v>
      </c>
      <c r="B43" s="9"/>
      <c r="C43" s="106" t="s">
        <v>39</v>
      </c>
      <c r="D43" s="106"/>
      <c r="E43" s="9" t="s">
        <v>40</v>
      </c>
      <c r="F43" s="106" t="s">
        <v>41</v>
      </c>
      <c r="G43" s="106"/>
    </row>
    <row r="44" spans="1:11" ht="13.5" customHeight="1" x14ac:dyDescent="0.25">
      <c r="A44" s="8" t="s">
        <v>42</v>
      </c>
      <c r="B44" s="8"/>
      <c r="C44" s="103">
        <v>16.600000000000001</v>
      </c>
      <c r="D44" s="103"/>
      <c r="E44" s="32">
        <v>0.15</v>
      </c>
      <c r="F44" s="102">
        <f>IFERROR(C44/E44,"")</f>
        <v>110.66666666666669</v>
      </c>
      <c r="G44" s="102"/>
    </row>
    <row r="45" spans="1:11" ht="13.5" customHeight="1" x14ac:dyDescent="0.25">
      <c r="A45" s="107" t="s">
        <v>43</v>
      </c>
      <c r="B45" s="108"/>
      <c r="C45" s="103">
        <v>15.32</v>
      </c>
      <c r="D45" s="103"/>
      <c r="E45" s="32">
        <v>0.88</v>
      </c>
      <c r="F45" s="102">
        <f>IFERROR(C45/E45,"")</f>
        <v>17.40909090909091</v>
      </c>
      <c r="G45" s="102"/>
    </row>
    <row r="46" spans="1:11" ht="13.5" customHeight="1" x14ac:dyDescent="0.25">
      <c r="A46" s="8" t="s">
        <v>44</v>
      </c>
      <c r="B46" s="8"/>
      <c r="C46" s="103">
        <v>23.1</v>
      </c>
      <c r="D46" s="103"/>
      <c r="E46" s="32">
        <v>0.3</v>
      </c>
      <c r="F46" s="102">
        <f>IFERROR(C46/E46,"")</f>
        <v>77.000000000000014</v>
      </c>
      <c r="G46" s="102"/>
    </row>
    <row r="47" spans="1:11" ht="13.5" customHeight="1" x14ac:dyDescent="0.25">
      <c r="A47" s="8" t="s">
        <v>45</v>
      </c>
      <c r="B47" s="8"/>
      <c r="C47" s="103">
        <v>11.68</v>
      </c>
      <c r="D47" s="103"/>
      <c r="E47" s="32">
        <v>0.32</v>
      </c>
      <c r="F47" s="102">
        <f>IFERROR(C47/E47,"")</f>
        <v>36.5</v>
      </c>
      <c r="G47" s="102"/>
    </row>
    <row r="48" spans="1:11" ht="13.5" customHeight="1" x14ac:dyDescent="0.25">
      <c r="A48" s="115" t="s">
        <v>46</v>
      </c>
      <c r="B48" s="116"/>
      <c r="C48" s="103"/>
      <c r="D48" s="103"/>
      <c r="E48" s="32"/>
      <c r="F48" s="102" t="str">
        <f>IFERROR(C48/E48,"")</f>
        <v/>
      </c>
      <c r="G48" s="102"/>
    </row>
    <row r="49" spans="1:11" ht="13.5" customHeight="1" x14ac:dyDescent="0.25">
      <c r="A49" s="1" t="s">
        <v>47</v>
      </c>
      <c r="B49" s="1"/>
      <c r="C49" s="117">
        <f>SUM(C44:D48)</f>
        <v>66.7</v>
      </c>
      <c r="D49" s="117"/>
      <c r="E49" s="1"/>
      <c r="F49" s="118">
        <f>SUM(F44:G48)</f>
        <v>241.57575757575762</v>
      </c>
      <c r="G49" s="118"/>
    </row>
    <row r="50" spans="1:11" ht="4.9000000000000004" customHeight="1" x14ac:dyDescent="0.25"/>
    <row r="51" spans="1:11" x14ac:dyDescent="0.25">
      <c r="A51" s="23" t="s">
        <v>48</v>
      </c>
      <c r="B51" s="24"/>
      <c r="C51" s="24"/>
      <c r="D51" s="24"/>
      <c r="E51" s="24"/>
      <c r="F51" s="24"/>
      <c r="G51" s="24"/>
      <c r="H51" s="24"/>
      <c r="I51" s="24"/>
    </row>
    <row r="52" spans="1:11" ht="13.5" customHeight="1" x14ac:dyDescent="0.25">
      <c r="A52" t="s">
        <v>49</v>
      </c>
      <c r="D52" s="31">
        <f>'Simulation A1'!D52</f>
        <v>3200</v>
      </c>
    </row>
    <row r="53" spans="1:11" ht="13.5" customHeight="1" x14ac:dyDescent="0.25">
      <c r="A53" t="s">
        <v>50</v>
      </c>
      <c r="D53" s="31">
        <f>'Simulation A1'!D53</f>
        <v>3300</v>
      </c>
    </row>
    <row r="54" spans="1:11" ht="13.5" customHeight="1" x14ac:dyDescent="0.25">
      <c r="A54" t="s">
        <v>51</v>
      </c>
      <c r="D54" s="31">
        <f>'Simulation A1'!D54</f>
        <v>650</v>
      </c>
    </row>
    <row r="55" spans="1:11" ht="13.5" customHeight="1" x14ac:dyDescent="0.25">
      <c r="A55" t="s">
        <v>52</v>
      </c>
      <c r="D55" s="33">
        <v>3.5</v>
      </c>
      <c r="F55" t="s">
        <v>53</v>
      </c>
      <c r="K55" s="43">
        <f>VLOOKUP(D56,'Solde de lait à traire'!$A$4:$B$47,2,FALSE)/100</f>
        <v>0.35438487128960106</v>
      </c>
    </row>
    <row r="56" spans="1:11" ht="13.5" customHeight="1" x14ac:dyDescent="0.25">
      <c r="A56" t="s">
        <v>54</v>
      </c>
      <c r="D56" s="31">
        <v>25</v>
      </c>
      <c r="F56" t="s">
        <v>55</v>
      </c>
      <c r="K56" s="43">
        <f>(44-D56)/44</f>
        <v>0.43181818181818182</v>
      </c>
    </row>
    <row r="57" spans="1:11" ht="13.5" customHeight="1" x14ac:dyDescent="0.25">
      <c r="A57" t="s">
        <v>56</v>
      </c>
      <c r="I57" s="83">
        <v>1</v>
      </c>
      <c r="J57" s="85" t="s">
        <v>16</v>
      </c>
    </row>
    <row r="58" spans="1:11" ht="4.9000000000000004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</row>
    <row r="59" spans="1:11" x14ac:dyDescent="0.25">
      <c r="A59" s="23" t="s">
        <v>57</v>
      </c>
      <c r="B59" s="24"/>
      <c r="C59" s="24"/>
      <c r="D59" s="24"/>
      <c r="E59" s="24"/>
      <c r="F59" s="24"/>
      <c r="G59" s="24"/>
      <c r="H59" s="24"/>
      <c r="I59" s="24"/>
    </row>
    <row r="60" spans="1:11" ht="4.9000000000000004" customHeight="1" x14ac:dyDescent="0.25"/>
    <row r="61" spans="1:11" s="47" customFormat="1" ht="60" x14ac:dyDescent="0.25">
      <c r="A61" s="139"/>
      <c r="B61" s="139"/>
      <c r="C61" s="139"/>
      <c r="D61" s="45" t="s">
        <v>25</v>
      </c>
      <c r="E61" s="46" t="s">
        <v>26</v>
      </c>
      <c r="F61" s="45" t="s">
        <v>58</v>
      </c>
      <c r="G61" s="45" t="s">
        <v>59</v>
      </c>
      <c r="H61" s="45" t="s">
        <v>60</v>
      </c>
      <c r="I61" s="46" t="s">
        <v>61</v>
      </c>
      <c r="J61"/>
    </row>
    <row r="62" spans="1:11" ht="13.5" customHeight="1" x14ac:dyDescent="0.25">
      <c r="A62" s="17" t="s">
        <v>62</v>
      </c>
      <c r="B62" s="18"/>
      <c r="C62" s="19"/>
      <c r="D62" s="34">
        <f>'Simulation A1'!D62</f>
        <v>7000</v>
      </c>
      <c r="E62" s="8" t="s">
        <v>63</v>
      </c>
      <c r="F62" s="12">
        <f>K13</f>
        <v>0.86943999999999999</v>
      </c>
      <c r="G62" s="13">
        <f>D62*F62</f>
        <v>6086.08</v>
      </c>
      <c r="H62" s="44">
        <f>$K$55</f>
        <v>0.35438487128960106</v>
      </c>
      <c r="I62" s="13">
        <f>-G62*H62</f>
        <v>-2156.8146774582151</v>
      </c>
    </row>
    <row r="63" spans="1:11" ht="13.5" customHeight="1" x14ac:dyDescent="0.25">
      <c r="A63" s="17" t="s">
        <v>64</v>
      </c>
      <c r="B63" s="18"/>
      <c r="C63" s="19"/>
      <c r="D63" s="26">
        <f>1/D55</f>
        <v>0.2857142857142857</v>
      </c>
      <c r="E63" s="8" t="s">
        <v>65</v>
      </c>
      <c r="F63" s="27">
        <f>D52</f>
        <v>3200</v>
      </c>
      <c r="G63" s="13">
        <f>D63*F63</f>
        <v>914.28571428571422</v>
      </c>
      <c r="H63" s="44">
        <v>0</v>
      </c>
      <c r="I63" s="13">
        <f t="shared" ref="I63:I66" si="0">-G63*H63</f>
        <v>0</v>
      </c>
    </row>
    <row r="64" spans="1:11" ht="13.5" customHeight="1" x14ac:dyDescent="0.25">
      <c r="A64" s="17" t="s">
        <v>66</v>
      </c>
      <c r="B64" s="18"/>
      <c r="C64" s="19"/>
      <c r="D64" s="35">
        <v>0.95</v>
      </c>
      <c r="E64" s="8" t="s">
        <v>67</v>
      </c>
      <c r="F64" s="27">
        <f>D54</f>
        <v>650</v>
      </c>
      <c r="G64" s="13">
        <f>D64*F64</f>
        <v>617.5</v>
      </c>
      <c r="H64" s="44">
        <v>0</v>
      </c>
      <c r="I64" s="13">
        <f t="shared" si="0"/>
        <v>0</v>
      </c>
    </row>
    <row r="65" spans="1:10" ht="13.5" customHeight="1" x14ac:dyDescent="0.25">
      <c r="A65" s="17" t="s">
        <v>68</v>
      </c>
      <c r="B65" s="18"/>
      <c r="C65" s="19"/>
      <c r="D65" s="26">
        <f>D63</f>
        <v>0.2857142857142857</v>
      </c>
      <c r="E65" s="8" t="s">
        <v>69</v>
      </c>
      <c r="F65" s="27">
        <f>D53</f>
        <v>3300</v>
      </c>
      <c r="G65" s="13">
        <f>-D65*F65</f>
        <v>-942.85714285714278</v>
      </c>
      <c r="H65" s="44">
        <v>0</v>
      </c>
      <c r="I65" s="13">
        <f t="shared" si="0"/>
        <v>0</v>
      </c>
    </row>
    <row r="66" spans="1:10" ht="13.5" customHeight="1" x14ac:dyDescent="0.25">
      <c r="A66" s="17" t="s">
        <v>31</v>
      </c>
      <c r="B66" s="18"/>
      <c r="C66" s="19"/>
      <c r="D66" s="14"/>
      <c r="E66" s="14"/>
      <c r="F66" s="14"/>
      <c r="G66" s="13">
        <f>SUM(G67:G71)</f>
        <v>-596.07999999999993</v>
      </c>
      <c r="H66" s="44">
        <f>$K$55</f>
        <v>0.35438487128960106</v>
      </c>
      <c r="I66" s="13">
        <f t="shared" si="0"/>
        <v>211.24173407830537</v>
      </c>
    </row>
    <row r="67" spans="1:10" s="7" customFormat="1" ht="13.5" customHeight="1" x14ac:dyDescent="0.25">
      <c r="A67" s="20" t="s">
        <v>70</v>
      </c>
      <c r="B67" s="21"/>
      <c r="C67" s="22"/>
      <c r="D67" s="36">
        <f>'Simulation A1'!D67</f>
        <v>0</v>
      </c>
      <c r="E67" s="8" t="s">
        <v>63</v>
      </c>
      <c r="F67" s="37">
        <f>'Simulation A1'!F67</f>
        <v>0</v>
      </c>
      <c r="G67" s="15">
        <f>-D67*F67</f>
        <v>0</v>
      </c>
      <c r="H67" s="14"/>
      <c r="I67" s="14"/>
      <c r="J67"/>
    </row>
    <row r="68" spans="1:10" s="7" customFormat="1" ht="13.5" customHeight="1" x14ac:dyDescent="0.25">
      <c r="A68" s="20" t="s">
        <v>71</v>
      </c>
      <c r="B68" s="21"/>
      <c r="C68" s="22"/>
      <c r="D68" s="36">
        <f>'Simulation A1'!D68</f>
        <v>206</v>
      </c>
      <c r="E68" s="8" t="s">
        <v>63</v>
      </c>
      <c r="F68" s="37">
        <f>'Simulation A1'!F68</f>
        <v>1.1399999999999999</v>
      </c>
      <c r="G68" s="15">
        <f>-D68*F68</f>
        <v>-234.83999999999997</v>
      </c>
      <c r="H68" s="14"/>
      <c r="I68" s="14"/>
      <c r="J68"/>
    </row>
    <row r="69" spans="1:10" s="7" customFormat="1" ht="13.5" customHeight="1" x14ac:dyDescent="0.25">
      <c r="A69" s="20" t="s">
        <v>72</v>
      </c>
      <c r="B69" s="21"/>
      <c r="C69" s="22"/>
      <c r="D69" s="36">
        <f>'Simulation A1'!D69</f>
        <v>173</v>
      </c>
      <c r="E69" s="8" t="s">
        <v>63</v>
      </c>
      <c r="F69" s="99">
        <f>'Simulation A1'!F69</f>
        <v>1.38</v>
      </c>
      <c r="G69" s="15">
        <f>-D69*F69</f>
        <v>-238.73999999999998</v>
      </c>
      <c r="H69" s="14"/>
      <c r="I69" s="14"/>
      <c r="J69"/>
    </row>
    <row r="70" spans="1:10" s="7" customFormat="1" ht="13.5" customHeight="1" x14ac:dyDescent="0.25">
      <c r="A70" s="20" t="s">
        <v>73</v>
      </c>
      <c r="B70" s="21"/>
      <c r="C70" s="22"/>
      <c r="D70" s="36">
        <f>'Simulation A1'!D70</f>
        <v>45</v>
      </c>
      <c r="E70" s="8" t="s">
        <v>63</v>
      </c>
      <c r="F70" s="37">
        <f>'Simulation A1'!F70</f>
        <v>2.5</v>
      </c>
      <c r="G70" s="15">
        <f>-D70*F70</f>
        <v>-112.5</v>
      </c>
      <c r="H70" s="14"/>
      <c r="I70" s="14"/>
      <c r="J70"/>
    </row>
    <row r="71" spans="1:10" s="7" customFormat="1" ht="13.5" customHeight="1" x14ac:dyDescent="0.25">
      <c r="A71" s="20" t="s">
        <v>74</v>
      </c>
      <c r="B71" s="21"/>
      <c r="C71" s="22"/>
      <c r="D71" s="36">
        <v>20</v>
      </c>
      <c r="E71" s="8" t="s">
        <v>63</v>
      </c>
      <c r="F71" s="37">
        <v>0.5</v>
      </c>
      <c r="G71" s="15">
        <f>-D71*F71</f>
        <v>-10</v>
      </c>
      <c r="H71" s="14"/>
      <c r="I71" s="14"/>
      <c r="J71"/>
    </row>
    <row r="72" spans="1:10" ht="13.5" customHeight="1" x14ac:dyDescent="0.25">
      <c r="A72" s="17" t="s">
        <v>75</v>
      </c>
      <c r="B72" s="18"/>
      <c r="C72" s="19"/>
      <c r="D72" s="14"/>
      <c r="E72" s="14"/>
      <c r="F72" s="14"/>
      <c r="G72" s="38">
        <f>'Simulation A1'!G72</f>
        <v>-140</v>
      </c>
      <c r="H72" s="44">
        <f>$K$56</f>
        <v>0.43181818181818182</v>
      </c>
      <c r="I72" s="13">
        <f t="shared" ref="I72:I76" si="1">-G72*H72</f>
        <v>60.454545454545453</v>
      </c>
    </row>
    <row r="73" spans="1:10" ht="13.5" customHeight="1" x14ac:dyDescent="0.25">
      <c r="A73" s="17" t="s">
        <v>76</v>
      </c>
      <c r="B73" s="18"/>
      <c r="C73" s="19"/>
      <c r="D73" s="14"/>
      <c r="E73" s="14"/>
      <c r="F73" s="14"/>
      <c r="G73" s="38">
        <f>'Simulation A1'!G73</f>
        <v>-128</v>
      </c>
      <c r="H73" s="44">
        <v>0</v>
      </c>
      <c r="I73" s="13">
        <f t="shared" si="1"/>
        <v>0</v>
      </c>
    </row>
    <row r="74" spans="1:10" ht="13.5" customHeight="1" x14ac:dyDescent="0.25">
      <c r="A74" s="17" t="s">
        <v>77</v>
      </c>
      <c r="B74" s="18"/>
      <c r="C74" s="19"/>
      <c r="D74" s="14"/>
      <c r="E74" s="14"/>
      <c r="F74" s="14"/>
      <c r="G74" s="38">
        <v>-133</v>
      </c>
      <c r="H74" s="44">
        <f>$K$56</f>
        <v>0.43181818181818182</v>
      </c>
      <c r="I74" s="13">
        <f t="shared" si="1"/>
        <v>57.43181818181818</v>
      </c>
    </row>
    <row r="75" spans="1:10" ht="13.5" customHeight="1" x14ac:dyDescent="0.25">
      <c r="A75" s="17" t="s">
        <v>78</v>
      </c>
      <c r="B75" s="18"/>
      <c r="C75" s="19"/>
      <c r="D75" s="14"/>
      <c r="E75" s="14"/>
      <c r="F75" s="14"/>
      <c r="G75" s="38">
        <v>-34</v>
      </c>
      <c r="H75" s="44">
        <f>$K$56</f>
        <v>0.43181818181818182</v>
      </c>
      <c r="I75" s="13">
        <f t="shared" si="1"/>
        <v>14.681818181818182</v>
      </c>
    </row>
    <row r="76" spans="1:10" ht="13.5" customHeight="1" x14ac:dyDescent="0.25">
      <c r="A76" s="17" t="s">
        <v>79</v>
      </c>
      <c r="B76" s="18"/>
      <c r="C76" s="19"/>
      <c r="D76" s="14"/>
      <c r="E76" s="14"/>
      <c r="F76" s="14"/>
      <c r="G76" s="13">
        <f>SUM(G77:G79)</f>
        <v>265</v>
      </c>
      <c r="H76" s="44">
        <f>$K$56</f>
        <v>0.43181818181818182</v>
      </c>
      <c r="I76" s="13">
        <f t="shared" si="1"/>
        <v>-114.43181818181819</v>
      </c>
    </row>
    <row r="77" spans="1:10" s="7" customFormat="1" ht="13.5" customHeight="1" x14ac:dyDescent="0.25">
      <c r="A77" s="20" t="s">
        <v>80</v>
      </c>
      <c r="B77" s="21"/>
      <c r="C77" s="22"/>
      <c r="D77" s="36">
        <v>1</v>
      </c>
      <c r="E77" s="16" t="s">
        <v>65</v>
      </c>
      <c r="F77" s="37">
        <v>190</v>
      </c>
      <c r="G77" s="15">
        <f>D77*F77</f>
        <v>190</v>
      </c>
      <c r="H77" s="14"/>
      <c r="I77" s="14"/>
      <c r="J77"/>
    </row>
    <row r="78" spans="1:10" s="7" customFormat="1" ht="13.5" customHeight="1" x14ac:dyDescent="0.25">
      <c r="A78" s="20" t="s">
        <v>81</v>
      </c>
      <c r="B78" s="21"/>
      <c r="C78" s="22"/>
      <c r="D78" s="36"/>
      <c r="E78" s="16" t="s">
        <v>65</v>
      </c>
      <c r="F78" s="37">
        <v>350</v>
      </c>
      <c r="G78" s="15">
        <f>D78*F78</f>
        <v>0</v>
      </c>
      <c r="H78" s="14"/>
      <c r="I78" s="14"/>
      <c r="J78"/>
    </row>
    <row r="79" spans="1:10" s="7" customFormat="1" ht="13.5" customHeight="1" x14ac:dyDescent="0.25">
      <c r="A79" s="20" t="s">
        <v>82</v>
      </c>
      <c r="B79" s="21"/>
      <c r="C79" s="22"/>
      <c r="D79" s="36">
        <v>1</v>
      </c>
      <c r="E79" s="16" t="s">
        <v>65</v>
      </c>
      <c r="F79" s="37">
        <v>75</v>
      </c>
      <c r="G79" s="15">
        <f>D79*F79</f>
        <v>75</v>
      </c>
      <c r="H79" s="14"/>
      <c r="I79" s="14"/>
      <c r="J79"/>
    </row>
    <row r="80" spans="1:10" ht="13.5" customHeight="1" x14ac:dyDescent="0.25">
      <c r="A80" s="17" t="s">
        <v>38</v>
      </c>
      <c r="B80" s="18"/>
      <c r="C80" s="19"/>
      <c r="D80" s="14"/>
      <c r="E80" s="14"/>
      <c r="F80" s="14"/>
      <c r="G80" s="13">
        <f>SUM(G81:G83)</f>
        <v>-1732.7242424242427</v>
      </c>
      <c r="H80" s="44">
        <f>$K$56</f>
        <v>0.43181818181818182</v>
      </c>
      <c r="I80" s="13">
        <f t="shared" ref="I80" si="2">-G80*H80</f>
        <v>748.22183195592299</v>
      </c>
    </row>
    <row r="81" spans="1:11" s="7" customFormat="1" ht="13.5" customHeight="1" x14ac:dyDescent="0.25">
      <c r="A81" s="20" t="str">
        <f>CONCATENATE("   ",A44)</f>
        <v xml:space="preserve">   Herbe au pâturage</v>
      </c>
      <c r="B81" s="21"/>
      <c r="C81" s="22"/>
      <c r="D81" s="39">
        <f>F44</f>
        <v>110.66666666666669</v>
      </c>
      <c r="E81" s="16" t="s">
        <v>83</v>
      </c>
      <c r="F81" s="37">
        <v>1.1000000000000001</v>
      </c>
      <c r="G81" s="15">
        <f>IFERROR(-D81*F81,"")</f>
        <v>-121.73333333333336</v>
      </c>
      <c r="H81" s="14"/>
      <c r="I81" s="14"/>
      <c r="J81"/>
    </row>
    <row r="82" spans="1:11" s="7" customFormat="1" ht="13.5" customHeight="1" x14ac:dyDescent="0.25">
      <c r="A82" s="20" t="str">
        <f>CONCATENATE("   ",A45)</f>
        <v xml:space="preserve">   Foin</v>
      </c>
      <c r="B82" s="21"/>
      <c r="C82" s="22"/>
      <c r="D82" s="39">
        <f>F45</f>
        <v>17.40909090909091</v>
      </c>
      <c r="E82" s="16" t="s">
        <v>83</v>
      </c>
      <c r="F82" s="37">
        <f>'Simulation A1'!F82</f>
        <v>43</v>
      </c>
      <c r="G82" s="15">
        <f t="shared" ref="G82:G85" si="3">IFERROR(-D82*F82,"")</f>
        <v>-748.59090909090912</v>
      </c>
      <c r="H82" s="14"/>
      <c r="I82" s="14"/>
      <c r="J82"/>
    </row>
    <row r="83" spans="1:11" s="7" customFormat="1" ht="13.5" customHeight="1" x14ac:dyDescent="0.25">
      <c r="A83" s="20" t="str">
        <f>CONCATENATE("   ",A46)</f>
        <v xml:space="preserve">   Ensilage d'herbe</v>
      </c>
      <c r="B83" s="21"/>
      <c r="C83" s="22"/>
      <c r="D83" s="39">
        <f>F46</f>
        <v>77.000000000000014</v>
      </c>
      <c r="E83" s="16" t="s">
        <v>83</v>
      </c>
      <c r="F83" s="37">
        <f>'Simulation A1'!F83</f>
        <v>11.2</v>
      </c>
      <c r="G83" s="15">
        <f t="shared" si="3"/>
        <v>-862.40000000000009</v>
      </c>
      <c r="H83" s="14"/>
      <c r="I83" s="14"/>
      <c r="J83"/>
    </row>
    <row r="84" spans="1:11" s="7" customFormat="1" ht="13.5" customHeight="1" x14ac:dyDescent="0.25">
      <c r="A84" s="20" t="str">
        <f>CONCATENATE("   ",A47)</f>
        <v xml:space="preserve">   Ensilage de maïs</v>
      </c>
      <c r="B84" s="21"/>
      <c r="C84" s="22"/>
      <c r="D84" s="39">
        <f>F47</f>
        <v>36.5</v>
      </c>
      <c r="E84" s="16" t="s">
        <v>83</v>
      </c>
      <c r="F84" s="37">
        <f>'Simulation A1'!F84</f>
        <v>13.5</v>
      </c>
      <c r="G84" s="15">
        <f t="shared" si="3"/>
        <v>-492.75</v>
      </c>
      <c r="H84" s="14"/>
      <c r="I84" s="14"/>
      <c r="J84"/>
    </row>
    <row r="85" spans="1:11" s="7" customFormat="1" ht="13.5" customHeight="1" x14ac:dyDescent="0.25">
      <c r="A85" s="20" t="str">
        <f>CONCATENATE("   ",A48)</f>
        <v xml:space="preserve">   Autre fourrage de base</v>
      </c>
      <c r="B85" s="21"/>
      <c r="C85" s="22"/>
      <c r="D85" s="39" t="str">
        <f>F48</f>
        <v/>
      </c>
      <c r="E85" s="16" t="s">
        <v>83</v>
      </c>
      <c r="F85" s="37"/>
      <c r="G85" s="15" t="str">
        <f t="shared" si="3"/>
        <v/>
      </c>
      <c r="H85" s="14"/>
      <c r="I85" s="14"/>
      <c r="J85"/>
    </row>
    <row r="86" spans="1:11" ht="13.5" customHeight="1" x14ac:dyDescent="0.25">
      <c r="A86" s="17" t="s">
        <v>84</v>
      </c>
      <c r="B86" s="18"/>
      <c r="C86" s="19"/>
      <c r="D86" s="40">
        <f>2*365/100</f>
        <v>7.3</v>
      </c>
      <c r="E86" s="8" t="s">
        <v>83</v>
      </c>
      <c r="F86" s="41">
        <f>'Simulation A1'!F86</f>
        <v>23</v>
      </c>
      <c r="G86" s="13">
        <f>-D86*F86</f>
        <v>-167.9</v>
      </c>
      <c r="H86" s="44">
        <f>$K$56</f>
        <v>0.43181818181818182</v>
      </c>
      <c r="I86" s="13">
        <f t="shared" ref="I86" si="4">-G86*H86</f>
        <v>72.502272727272725</v>
      </c>
    </row>
    <row r="87" spans="1:11" ht="13.5" customHeight="1" x14ac:dyDescent="0.25">
      <c r="A87" s="1" t="s">
        <v>47</v>
      </c>
      <c r="B87" s="1"/>
      <c r="C87" s="1"/>
      <c r="D87" s="1"/>
      <c r="E87" s="1"/>
      <c r="F87" s="1"/>
      <c r="G87" s="11">
        <f>SUM(G62:G66,G72:G76,G80,G86)</f>
        <v>4008.3043290043274</v>
      </c>
      <c r="I87" s="11">
        <f>SUM(I62:I86)</f>
        <v>-1106.7124750603502</v>
      </c>
      <c r="J87" s="11"/>
    </row>
    <row r="88" spans="1:11" ht="4.9000000000000004" customHeight="1" x14ac:dyDescent="0.25"/>
    <row r="89" spans="1:11" ht="15.75" thickBot="1" x14ac:dyDescent="0.3">
      <c r="A89" s="104" t="s">
        <v>21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</row>
    <row r="90" spans="1:11" ht="13.5" customHeight="1" thickBot="1" x14ac:dyDescent="0.3">
      <c r="A90" t="s">
        <v>22</v>
      </c>
      <c r="D90" s="2"/>
      <c r="E90" s="79">
        <f>I57*K55*D62</f>
        <v>2480.6940990272074</v>
      </c>
    </row>
    <row r="91" spans="1:11" ht="4.9000000000000004" customHeight="1" x14ac:dyDescent="0.25"/>
    <row r="92" spans="1:11" x14ac:dyDescent="0.25">
      <c r="A92" s="104" t="s">
        <v>85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</row>
    <row r="93" spans="1:11" ht="4.9000000000000004" customHeight="1" x14ac:dyDescent="0.25"/>
    <row r="94" spans="1:11" ht="30" customHeight="1" x14ac:dyDescent="0.25">
      <c r="A94" s="109" t="s">
        <v>24</v>
      </c>
      <c r="B94" s="110"/>
      <c r="C94" s="88" t="s">
        <v>25</v>
      </c>
      <c r="D94" s="88" t="s">
        <v>26</v>
      </c>
      <c r="E94" s="88" t="s">
        <v>27</v>
      </c>
      <c r="F94" s="88" t="s">
        <v>28</v>
      </c>
      <c r="G94" s="124" t="s">
        <v>29</v>
      </c>
      <c r="H94" s="124"/>
      <c r="I94" s="120" t="s">
        <v>30</v>
      </c>
      <c r="J94" s="121"/>
    </row>
    <row r="95" spans="1:11" ht="13.5" customHeight="1" x14ac:dyDescent="0.25">
      <c r="A95" s="107" t="s">
        <v>86</v>
      </c>
      <c r="B95" s="108"/>
      <c r="C95" s="89">
        <f>-I57</f>
        <v>-1</v>
      </c>
      <c r="D95" s="86" t="s">
        <v>87</v>
      </c>
      <c r="E95" s="13">
        <f>I87</f>
        <v>-1106.7124750603502</v>
      </c>
      <c r="F95" s="4">
        <f>-C95*E95</f>
        <v>-1106.7124750603502</v>
      </c>
      <c r="G95" s="122">
        <f>F95/$G$10</f>
        <v>-9.1484278712617648E-3</v>
      </c>
      <c r="H95" s="122"/>
      <c r="I95" s="122">
        <f>IFERROR(F95/E90,0)</f>
        <v>-0.44613016796159688</v>
      </c>
      <c r="J95" s="122"/>
    </row>
    <row r="96" spans="1:11" ht="4.9000000000000004" customHeight="1" thickBot="1" x14ac:dyDescent="0.3">
      <c r="F96" s="5"/>
      <c r="G96" s="90"/>
      <c r="H96" s="80"/>
      <c r="I96" s="5"/>
    </row>
    <row r="97" spans="1:11" ht="13.5" customHeight="1" thickTop="1" thickBot="1" x14ac:dyDescent="0.3">
      <c r="A97" s="1" t="s">
        <v>35</v>
      </c>
      <c r="B97" s="1"/>
      <c r="F97" s="6">
        <f>SUM(F95:F95)</f>
        <v>-1106.7124750603502</v>
      </c>
      <c r="G97" s="111">
        <f>SUM(G95:G95)</f>
        <v>-9.1484278712617648E-3</v>
      </c>
      <c r="H97" s="112"/>
      <c r="I97" s="111">
        <f>SUM(I94:I95)</f>
        <v>-0.44613016796159688</v>
      </c>
      <c r="J97" s="112"/>
    </row>
    <row r="98" spans="1:11" ht="4.9000000000000004" customHeight="1" thickTop="1" x14ac:dyDescent="0.25"/>
    <row r="99" spans="1:11" ht="4.9000000000000004" customHeight="1" x14ac:dyDescent="0.25"/>
    <row r="100" spans="1:11" x14ac:dyDescent="0.25">
      <c r="A100" s="105" t="s">
        <v>88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</row>
    <row r="101" spans="1:11" ht="4.9000000000000004" customHeight="1" x14ac:dyDescent="0.25"/>
    <row r="102" spans="1:11" x14ac:dyDescent="0.25">
      <c r="A102" s="104" t="s">
        <v>12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</row>
    <row r="103" spans="1:11" ht="4.9000000000000004" customHeight="1" x14ac:dyDescent="0.25"/>
    <row r="104" spans="1:11" x14ac:dyDescent="0.25">
      <c r="A104" s="23" t="s">
        <v>89</v>
      </c>
      <c r="B104" s="24"/>
      <c r="C104" s="24"/>
      <c r="D104" s="24"/>
      <c r="E104" s="24"/>
      <c r="F104" s="24"/>
      <c r="G104" s="24"/>
      <c r="H104" s="24"/>
      <c r="I104" s="24"/>
    </row>
    <row r="105" spans="1:11" ht="13.5" customHeight="1" x14ac:dyDescent="0.25">
      <c r="A105" t="s">
        <v>90</v>
      </c>
      <c r="D105" s="31">
        <v>126</v>
      </c>
    </row>
    <row r="106" spans="1:11" ht="13.5" customHeight="1" x14ac:dyDescent="0.25">
      <c r="A106" t="s">
        <v>91</v>
      </c>
      <c r="D106" s="33">
        <f>'Simulation A1'!D106</f>
        <v>16.3</v>
      </c>
    </row>
    <row r="107" spans="1:11" ht="13.5" customHeight="1" x14ac:dyDescent="0.25">
      <c r="A107" t="s">
        <v>92</v>
      </c>
      <c r="D107" s="31">
        <v>74</v>
      </c>
    </row>
    <row r="108" spans="1:11" ht="13.5" customHeight="1" x14ac:dyDescent="0.25">
      <c r="A108" t="s">
        <v>93</v>
      </c>
      <c r="D108" s="33">
        <f>'Simulation A1'!D108</f>
        <v>8.5</v>
      </c>
    </row>
    <row r="109" spans="1:11" ht="13.5" customHeight="1" x14ac:dyDescent="0.25">
      <c r="A109" t="s">
        <v>94</v>
      </c>
      <c r="D109" s="42">
        <v>3.5000000000000003E-2</v>
      </c>
    </row>
    <row r="110" spans="1:11" ht="4.9000000000000004" customHeight="1" x14ac:dyDescent="0.25">
      <c r="A110" s="23"/>
      <c r="B110" s="24"/>
      <c r="C110" s="24"/>
      <c r="D110" s="24"/>
      <c r="E110" s="24"/>
      <c r="F110" s="24"/>
      <c r="G110" s="24"/>
      <c r="H110" s="24"/>
      <c r="I110" s="24"/>
    </row>
    <row r="111" spans="1:11" x14ac:dyDescent="0.25">
      <c r="A111" s="23" t="s">
        <v>95</v>
      </c>
      <c r="B111" s="24"/>
      <c r="C111" s="24"/>
      <c r="D111" s="24"/>
      <c r="E111" s="24"/>
      <c r="F111" s="24"/>
      <c r="G111" s="24"/>
      <c r="H111" s="24"/>
      <c r="I111" s="24"/>
    </row>
    <row r="112" spans="1:11" ht="4.9000000000000004" customHeight="1" x14ac:dyDescent="0.25"/>
    <row r="113" spans="1:11" ht="13.5" customHeight="1" x14ac:dyDescent="0.25">
      <c r="A113" s="119"/>
      <c r="B113" s="119"/>
      <c r="C113" s="119"/>
      <c r="D113" s="10" t="s">
        <v>25</v>
      </c>
      <c r="E113" s="9" t="s">
        <v>26</v>
      </c>
      <c r="F113" s="10" t="s">
        <v>58</v>
      </c>
      <c r="G113" s="135" t="s">
        <v>96</v>
      </c>
      <c r="H113" s="136"/>
    </row>
    <row r="114" spans="1:11" ht="13.5" customHeight="1" x14ac:dyDescent="0.25">
      <c r="A114" s="17" t="s">
        <v>97</v>
      </c>
      <c r="B114" s="18"/>
      <c r="C114" s="19"/>
      <c r="D114" s="25">
        <f>D105*(1-D109)</f>
        <v>121.58999999999999</v>
      </c>
      <c r="E114" s="8" t="s">
        <v>98</v>
      </c>
      <c r="F114" s="12">
        <f>D106</f>
        <v>16.3</v>
      </c>
      <c r="G114" s="113">
        <f>D114*F114</f>
        <v>1981.9169999999999</v>
      </c>
      <c r="H114" s="114"/>
    </row>
    <row r="115" spans="1:11" ht="13.5" customHeight="1" x14ac:dyDescent="0.25">
      <c r="A115" s="17" t="s">
        <v>99</v>
      </c>
      <c r="B115" s="18"/>
      <c r="C115" s="19"/>
      <c r="D115" s="26">
        <f>D107</f>
        <v>74</v>
      </c>
      <c r="E115" s="8" t="s">
        <v>100</v>
      </c>
      <c r="F115" s="12">
        <f>D108</f>
        <v>8.5</v>
      </c>
      <c r="G115" s="113">
        <f>-D115*F115</f>
        <v>-629</v>
      </c>
      <c r="H115" s="114"/>
    </row>
    <row r="116" spans="1:11" ht="13.5" customHeight="1" x14ac:dyDescent="0.25">
      <c r="A116" s="17" t="s">
        <v>101</v>
      </c>
      <c r="B116" s="18"/>
      <c r="C116" s="19"/>
      <c r="D116" s="14"/>
      <c r="E116" s="14"/>
      <c r="F116" s="14"/>
      <c r="G116" s="113">
        <f>SUM(G117:G120)</f>
        <v>-1547.15</v>
      </c>
      <c r="H116" s="114"/>
    </row>
    <row r="117" spans="1:11" s="7" customFormat="1" ht="13.5" customHeight="1" x14ac:dyDescent="0.25">
      <c r="A117" s="20" t="s">
        <v>102</v>
      </c>
      <c r="B117" s="21"/>
      <c r="C117" s="22"/>
      <c r="D117" s="36">
        <v>1350</v>
      </c>
      <c r="E117" s="8" t="s">
        <v>63</v>
      </c>
      <c r="F117" s="29">
        <f>K7</f>
        <v>0.88900000000000001</v>
      </c>
      <c r="G117" s="113">
        <f>-D117*F117</f>
        <v>-1200.1500000000001</v>
      </c>
      <c r="H117" s="114"/>
    </row>
    <row r="118" spans="1:11" s="7" customFormat="1" ht="13.5" customHeight="1" x14ac:dyDescent="0.25">
      <c r="A118" s="20" t="s">
        <v>103</v>
      </c>
      <c r="B118" s="21"/>
      <c r="C118" s="22"/>
      <c r="D118" s="36">
        <f>'Simulation A1'!D118</f>
        <v>110</v>
      </c>
      <c r="E118" s="8" t="s">
        <v>63</v>
      </c>
      <c r="F118" s="37">
        <f>'Simulation A1'!F118</f>
        <v>3.1</v>
      </c>
      <c r="G118" s="113">
        <f>-D118*F118</f>
        <v>-341</v>
      </c>
      <c r="H118" s="114"/>
    </row>
    <row r="119" spans="1:11" s="7" customFormat="1" ht="13.5" customHeight="1" x14ac:dyDescent="0.25">
      <c r="A119" s="20" t="s">
        <v>73</v>
      </c>
      <c r="B119" s="21"/>
      <c r="C119" s="22"/>
      <c r="D119" s="36">
        <v>2</v>
      </c>
      <c r="E119" s="8" t="s">
        <v>63</v>
      </c>
      <c r="F119" s="37">
        <f>'Simulation A1'!F119</f>
        <v>2.5</v>
      </c>
      <c r="G119" s="113">
        <f>-D119*F119</f>
        <v>-5</v>
      </c>
      <c r="H119" s="114"/>
    </row>
    <row r="120" spans="1:11" s="7" customFormat="1" ht="13.5" customHeight="1" x14ac:dyDescent="0.25">
      <c r="A120" s="20" t="s">
        <v>74</v>
      </c>
      <c r="B120" s="21"/>
      <c r="C120" s="22"/>
      <c r="D120" s="36">
        <v>2</v>
      </c>
      <c r="E120" s="8" t="s">
        <v>63</v>
      </c>
      <c r="F120" s="37">
        <v>0.5</v>
      </c>
      <c r="G120" s="113">
        <f>-D120*F120</f>
        <v>-1</v>
      </c>
      <c r="H120" s="114"/>
    </row>
    <row r="121" spans="1:11" ht="13.5" customHeight="1" x14ac:dyDescent="0.25">
      <c r="A121" s="17" t="s">
        <v>75</v>
      </c>
      <c r="B121" s="18"/>
      <c r="C121" s="19"/>
      <c r="D121" s="14"/>
      <c r="E121" s="14"/>
      <c r="F121" s="14"/>
      <c r="G121" s="125">
        <v>-60</v>
      </c>
      <c r="H121" s="126"/>
    </row>
    <row r="122" spans="1:11" ht="13.5" customHeight="1" x14ac:dyDescent="0.25">
      <c r="A122" s="17" t="s">
        <v>77</v>
      </c>
      <c r="B122" s="18"/>
      <c r="C122" s="19"/>
      <c r="D122" s="14"/>
      <c r="E122" s="14"/>
      <c r="F122" s="14"/>
      <c r="G122" s="125">
        <v>-49</v>
      </c>
      <c r="H122" s="126"/>
    </row>
    <row r="123" spans="1:11" ht="13.5" customHeight="1" x14ac:dyDescent="0.25">
      <c r="A123" s="17" t="s">
        <v>78</v>
      </c>
      <c r="B123" s="18"/>
      <c r="C123" s="19"/>
      <c r="D123" s="14"/>
      <c r="E123" s="14"/>
      <c r="F123" s="14"/>
      <c r="G123" s="125"/>
      <c r="H123" s="126"/>
    </row>
    <row r="124" spans="1:11" ht="13.5" customHeight="1" x14ac:dyDescent="0.25">
      <c r="A124" s="17" t="s">
        <v>43</v>
      </c>
      <c r="B124" s="18"/>
      <c r="C124" s="19"/>
      <c r="D124" s="40">
        <f>0.4/0.88</f>
        <v>0.45454545454545459</v>
      </c>
      <c r="E124" s="8" t="s">
        <v>83</v>
      </c>
      <c r="F124" s="41">
        <f>'Simulation A1'!F124</f>
        <v>43</v>
      </c>
      <c r="G124" s="113">
        <f>-D124*F124</f>
        <v>-19.545454545454547</v>
      </c>
      <c r="H124" s="114"/>
    </row>
    <row r="125" spans="1:11" ht="13.5" customHeight="1" x14ac:dyDescent="0.25">
      <c r="A125" s="17" t="s">
        <v>84</v>
      </c>
      <c r="B125" s="18"/>
      <c r="C125" s="19"/>
      <c r="D125" s="40">
        <v>2</v>
      </c>
      <c r="E125" s="8" t="s">
        <v>83</v>
      </c>
      <c r="F125" s="41">
        <f>'Simulation A1'!F125</f>
        <v>23</v>
      </c>
      <c r="G125" s="113">
        <f>-D125*F125</f>
        <v>-46</v>
      </c>
      <c r="H125" s="114"/>
    </row>
    <row r="126" spans="1:11" x14ac:dyDescent="0.25">
      <c r="A126" s="1" t="s">
        <v>47</v>
      </c>
      <c r="B126" s="1"/>
      <c r="C126" s="1"/>
      <c r="D126" s="1"/>
      <c r="E126" s="1"/>
      <c r="F126" s="1"/>
      <c r="G126" s="123">
        <f>SUM(G114:G116,G121:G123,G124,G125)</f>
        <v>-368.77845454545474</v>
      </c>
      <c r="H126" s="123"/>
    </row>
    <row r="127" spans="1:11" ht="4.9000000000000004" customHeight="1" x14ac:dyDescent="0.25"/>
    <row r="128" spans="1:11" x14ac:dyDescent="0.25">
      <c r="A128" s="104" t="s">
        <v>21</v>
      </c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</row>
    <row r="129" spans="1:11" ht="13.5" customHeight="1" thickBot="1" x14ac:dyDescent="0.3">
      <c r="A129" t="s">
        <v>104</v>
      </c>
      <c r="E129" s="84">
        <v>2</v>
      </c>
      <c r="F129" s="85" t="s">
        <v>16</v>
      </c>
    </row>
    <row r="130" spans="1:11" ht="13.5" customHeight="1" thickBot="1" x14ac:dyDescent="0.3">
      <c r="A130" t="s">
        <v>22</v>
      </c>
      <c r="D130" s="2"/>
      <c r="E130" s="79">
        <f>E129*D117</f>
        <v>2700</v>
      </c>
    </row>
    <row r="131" spans="1:11" ht="4.9000000000000004" customHeight="1" x14ac:dyDescent="0.25"/>
    <row r="132" spans="1:11" x14ac:dyDescent="0.25">
      <c r="A132" s="104" t="s">
        <v>85</v>
      </c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</row>
    <row r="133" spans="1:11" ht="4.9000000000000004" customHeight="1" x14ac:dyDescent="0.25"/>
    <row r="134" spans="1:11" ht="30" customHeight="1" x14ac:dyDescent="0.25">
      <c r="A134" s="109" t="s">
        <v>24</v>
      </c>
      <c r="B134" s="110"/>
      <c r="C134" s="88" t="s">
        <v>25</v>
      </c>
      <c r="D134" s="88" t="s">
        <v>26</v>
      </c>
      <c r="E134" s="88" t="s">
        <v>27</v>
      </c>
      <c r="F134" s="88" t="s">
        <v>28</v>
      </c>
      <c r="G134" s="124" t="s">
        <v>29</v>
      </c>
      <c r="H134" s="124"/>
      <c r="I134" s="120" t="s">
        <v>30</v>
      </c>
      <c r="J134" s="121"/>
    </row>
    <row r="135" spans="1:11" ht="13.5" customHeight="1" x14ac:dyDescent="0.25">
      <c r="A135" s="107" t="s">
        <v>105</v>
      </c>
      <c r="B135" s="108"/>
      <c r="C135" s="89">
        <f>E129</f>
        <v>2</v>
      </c>
      <c r="D135" s="86" t="s">
        <v>106</v>
      </c>
      <c r="E135" s="13">
        <f>G126</f>
        <v>-368.77845454545474</v>
      </c>
      <c r="F135" s="4">
        <f>C135*E135</f>
        <v>-737.55690909090947</v>
      </c>
      <c r="G135" s="122">
        <f>F135/$G$10</f>
        <v>-6.0968737010044169E-3</v>
      </c>
      <c r="H135" s="122"/>
      <c r="I135" s="122">
        <f>IFERROR(F135/E130,0)</f>
        <v>-0.27316922558922574</v>
      </c>
      <c r="J135" s="122"/>
    </row>
    <row r="136" spans="1:11" ht="4.9000000000000004" customHeight="1" thickBot="1" x14ac:dyDescent="0.3">
      <c r="F136" s="5"/>
      <c r="G136" s="90"/>
      <c r="H136" s="80"/>
      <c r="I136" s="5"/>
    </row>
    <row r="137" spans="1:11" ht="13.5" customHeight="1" thickTop="1" thickBot="1" x14ac:dyDescent="0.3">
      <c r="A137" s="1" t="s">
        <v>35</v>
      </c>
      <c r="B137" s="1"/>
      <c r="F137" s="6">
        <f>SUM(F135:F135)</f>
        <v>-737.55690909090947</v>
      </c>
      <c r="G137" s="111">
        <f>SUM(G135:G135)</f>
        <v>-6.0968737010044169E-3</v>
      </c>
      <c r="H137" s="112"/>
      <c r="I137" s="111">
        <f>SUM(I134:I135)</f>
        <v>-0.27316922558922574</v>
      </c>
      <c r="J137" s="112"/>
    </row>
    <row r="138" spans="1:11" ht="4.9000000000000004" customHeight="1" thickTop="1" x14ac:dyDescent="0.25"/>
    <row r="139" spans="1:11" x14ac:dyDescent="0.25">
      <c r="A139" s="105" t="s">
        <v>107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</row>
    <row r="140" spans="1:11" ht="4.9000000000000004" customHeight="1" x14ac:dyDescent="0.25"/>
    <row r="141" spans="1:11" ht="30" customHeight="1" x14ac:dyDescent="0.25">
      <c r="A141" s="109" t="s">
        <v>24</v>
      </c>
      <c r="B141" s="110"/>
      <c r="C141" s="88" t="s">
        <v>25</v>
      </c>
      <c r="D141" s="88" t="s">
        <v>26</v>
      </c>
      <c r="E141" s="88" t="s">
        <v>27</v>
      </c>
      <c r="F141" s="88" t="s">
        <v>28</v>
      </c>
      <c r="G141" s="124" t="s">
        <v>29</v>
      </c>
      <c r="H141" s="124"/>
    </row>
    <row r="142" spans="1:11" ht="13.5" customHeight="1" x14ac:dyDescent="0.25">
      <c r="A142" s="107" t="s">
        <v>108</v>
      </c>
      <c r="B142" s="108"/>
      <c r="C142" s="13">
        <f>G10</f>
        <v>120972.96832135496</v>
      </c>
      <c r="D142" s="86" t="s">
        <v>34</v>
      </c>
      <c r="E142" s="87">
        <f>K12</f>
        <v>0.02</v>
      </c>
      <c r="F142" s="4">
        <f>C142*E142</f>
        <v>2419.4593664270992</v>
      </c>
      <c r="G142" s="122">
        <f>F142/$G$10</f>
        <v>0.02</v>
      </c>
      <c r="H142" s="122"/>
    </row>
    <row r="143" spans="1:11" x14ac:dyDescent="0.25"/>
    <row r="144" spans="1:11" x14ac:dyDescent="0.25">
      <c r="A144" s="105" t="s">
        <v>109</v>
      </c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</row>
    <row r="145" spans="1:11" ht="4.5" customHeight="1" x14ac:dyDescent="0.25">
      <c r="I145" s="78">
        <f>F34</f>
        <v>0</v>
      </c>
    </row>
    <row r="146" spans="1:11" s="98" customFormat="1" ht="30" customHeight="1" x14ac:dyDescent="0.25">
      <c r="A146" s="95" t="s">
        <v>110</v>
      </c>
      <c r="B146" s="96"/>
      <c r="C146" s="96"/>
      <c r="D146" s="96"/>
      <c r="E146" s="96"/>
      <c r="F146" s="96"/>
      <c r="G146" s="97" t="s">
        <v>28</v>
      </c>
      <c r="H146" s="120" t="s">
        <v>111</v>
      </c>
      <c r="I146" s="121"/>
      <c r="J146" s="120" t="s">
        <v>30</v>
      </c>
      <c r="K146" s="121"/>
    </row>
    <row r="147" spans="1:11" s="94" customFormat="1" ht="30" customHeight="1" x14ac:dyDescent="0.25">
      <c r="A147" s="137" t="s">
        <v>112</v>
      </c>
      <c r="B147" s="138"/>
      <c r="C147" s="138"/>
      <c r="D147" s="138"/>
      <c r="E147" s="138"/>
      <c r="F147" s="138"/>
      <c r="G147" s="93">
        <f>F35</f>
        <v>-1961.91974522293</v>
      </c>
      <c r="H147" s="133">
        <f>G147/$G$10</f>
        <v>-1.6217835872318582E-2</v>
      </c>
      <c r="I147" s="134"/>
      <c r="J147" s="133">
        <f>I35</f>
        <v>-0.25004273972602742</v>
      </c>
      <c r="K147" s="134"/>
    </row>
    <row r="148" spans="1:11" x14ac:dyDescent="0.25">
      <c r="A148" s="17" t="s">
        <v>113</v>
      </c>
      <c r="B148" s="18"/>
      <c r="C148" s="18"/>
      <c r="D148" s="18"/>
      <c r="E148" s="18"/>
      <c r="F148" s="18"/>
      <c r="G148" s="13">
        <f>F97</f>
        <v>-1106.7124750603502</v>
      </c>
      <c r="H148" s="133">
        <f t="shared" ref="H148:H151" si="5">G148/$G$10</f>
        <v>-9.1484278712617648E-3</v>
      </c>
      <c r="I148" s="134"/>
      <c r="J148" s="133">
        <f>I97</f>
        <v>-0.44613016796159688</v>
      </c>
      <c r="K148" s="134"/>
    </row>
    <row r="149" spans="1:11" x14ac:dyDescent="0.25">
      <c r="A149" s="17" t="s">
        <v>114</v>
      </c>
      <c r="B149" s="18"/>
      <c r="C149" s="18"/>
      <c r="D149" s="18"/>
      <c r="E149" s="18"/>
      <c r="F149" s="18"/>
      <c r="G149" s="13">
        <f>F137</f>
        <v>-737.55690909090947</v>
      </c>
      <c r="H149" s="133">
        <f t="shared" si="5"/>
        <v>-6.0968737010044169E-3</v>
      </c>
      <c r="I149" s="134"/>
      <c r="J149" s="133">
        <f>I137</f>
        <v>-0.27316922558922574</v>
      </c>
      <c r="K149" s="134"/>
    </row>
    <row r="150" spans="1:11" ht="15.75" thickBot="1" x14ac:dyDescent="0.3">
      <c r="A150" s="17" t="s">
        <v>115</v>
      </c>
      <c r="B150" s="18"/>
      <c r="C150" s="18"/>
      <c r="D150" s="18"/>
      <c r="E150" s="18"/>
      <c r="F150" s="18"/>
      <c r="G150" s="92">
        <f>F142</f>
        <v>2419.4593664270992</v>
      </c>
      <c r="H150" s="144">
        <f t="shared" si="5"/>
        <v>0.02</v>
      </c>
      <c r="I150" s="145"/>
    </row>
    <row r="151" spans="1:11" ht="16.5" thickTop="1" thickBot="1" x14ac:dyDescent="0.3">
      <c r="A151" s="1" t="s">
        <v>116</v>
      </c>
      <c r="B151" s="1"/>
      <c r="C151" s="1"/>
      <c r="D151" s="1"/>
      <c r="E151" s="1"/>
      <c r="F151" s="1"/>
      <c r="G151" s="81">
        <f>SUM(G147:G150)</f>
        <v>-1386.7297629470904</v>
      </c>
      <c r="H151" s="142">
        <f t="shared" si="5"/>
        <v>-1.1463137444584763E-2</v>
      </c>
      <c r="I151" s="143"/>
    </row>
    <row r="152" spans="1:11" ht="6" customHeight="1" thickTop="1" x14ac:dyDescent="0.25"/>
    <row r="153" spans="1:11" ht="15" customHeight="1" x14ac:dyDescent="0.25"/>
  </sheetData>
  <sheetProtection sheet="1" objects="1" scenarios="1"/>
  <mergeCells count="92">
    <mergeCell ref="H151:I151"/>
    <mergeCell ref="A144:K144"/>
    <mergeCell ref="H146:I146"/>
    <mergeCell ref="J146:K146"/>
    <mergeCell ref="A147:F147"/>
    <mergeCell ref="H147:I147"/>
    <mergeCell ref="J147:K147"/>
    <mergeCell ref="H148:I148"/>
    <mergeCell ref="J148:K148"/>
    <mergeCell ref="H149:I149"/>
    <mergeCell ref="J149:K149"/>
    <mergeCell ref="H150:I150"/>
    <mergeCell ref="A142:B142"/>
    <mergeCell ref="G142:H142"/>
    <mergeCell ref="A134:B134"/>
    <mergeCell ref="G134:H134"/>
    <mergeCell ref="I134:J134"/>
    <mergeCell ref="A135:B135"/>
    <mergeCell ref="G135:H135"/>
    <mergeCell ref="I135:J135"/>
    <mergeCell ref="G137:H137"/>
    <mergeCell ref="I137:J137"/>
    <mergeCell ref="A139:K139"/>
    <mergeCell ref="A141:B141"/>
    <mergeCell ref="G141:H141"/>
    <mergeCell ref="A132:K132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A128:K128"/>
    <mergeCell ref="G116:H116"/>
    <mergeCell ref="A95:B95"/>
    <mergeCell ref="G95:H95"/>
    <mergeCell ref="I95:J95"/>
    <mergeCell ref="G97:H97"/>
    <mergeCell ref="I97:J97"/>
    <mergeCell ref="A100:K100"/>
    <mergeCell ref="A102:K102"/>
    <mergeCell ref="A113:C113"/>
    <mergeCell ref="G113:H113"/>
    <mergeCell ref="G114:H114"/>
    <mergeCell ref="G115:H115"/>
    <mergeCell ref="A61:C61"/>
    <mergeCell ref="A89:K89"/>
    <mergeCell ref="A92:K92"/>
    <mergeCell ref="A94:B94"/>
    <mergeCell ref="G94:H94"/>
    <mergeCell ref="I94:J94"/>
    <mergeCell ref="C49:D49"/>
    <mergeCell ref="F49:G49"/>
    <mergeCell ref="C44:D44"/>
    <mergeCell ref="F44:G44"/>
    <mergeCell ref="A45:B45"/>
    <mergeCell ref="C45:D45"/>
    <mergeCell ref="F45:G45"/>
    <mergeCell ref="C46:D46"/>
    <mergeCell ref="F46:G46"/>
    <mergeCell ref="C47:D47"/>
    <mergeCell ref="F47:G47"/>
    <mergeCell ref="A48:B48"/>
    <mergeCell ref="C48:D48"/>
    <mergeCell ref="F48:G48"/>
    <mergeCell ref="G35:H35"/>
    <mergeCell ref="I35:J35"/>
    <mergeCell ref="A37:K37"/>
    <mergeCell ref="A39:K39"/>
    <mergeCell ref="C43:D43"/>
    <mergeCell ref="F43:G43"/>
    <mergeCell ref="A32:B32"/>
    <mergeCell ref="G32:H32"/>
    <mergeCell ref="I32:J32"/>
    <mergeCell ref="A33:B33"/>
    <mergeCell ref="G33:H33"/>
    <mergeCell ref="I33:J33"/>
    <mergeCell ref="A26:K26"/>
    <mergeCell ref="A29:K29"/>
    <mergeCell ref="A31:B31"/>
    <mergeCell ref="G31:H31"/>
    <mergeCell ref="I31:J31"/>
    <mergeCell ref="A17:K17"/>
    <mergeCell ref="A1:B1"/>
    <mergeCell ref="C1:K1"/>
    <mergeCell ref="A3:K3"/>
    <mergeCell ref="D5:E5"/>
    <mergeCell ref="A15:K15"/>
  </mergeCells>
  <conditionalFormatting sqref="A6:E6">
    <cfRule type="expression" dxfId="7" priority="1">
      <formula>$D$5="Modèle de planification"</formula>
    </cfRule>
  </conditionalFormatting>
  <conditionalFormatting sqref="E6">
    <cfRule type="expression" dxfId="6" priority="2">
      <formula>$D$5="Modèle de planification"</formula>
    </cfRule>
  </conditionalFormatting>
  <dataValidations count="7">
    <dataValidation allowBlank="1" showInputMessage="1" showErrorMessage="1" prompt="Si option non retenue, mettre 0" sqref="F20 I57 E129" xr:uid="{683BB1FC-B395-411B-B14C-E19086E168CD}"/>
    <dataValidation type="list" allowBlank="1" showInputMessage="1" showErrorMessage="1" sqref="D5:E5" xr:uid="{D3CD7914-4A70-4999-A70E-D6020C23C1D8}">
      <formula1>"Modèle de base,Modèle de planification"</formula1>
    </dataValidation>
    <dataValidation type="whole" allowBlank="1" showInputMessage="1" showErrorMessage="1" prompt="Saisir ici le nombre de semaine de lactation moyen (entre 3 et 44) des vaches qui seront réformées prématurément pour diminuer le troupeau de vaches laitières" sqref="D56" xr:uid="{0BDA6E76-E716-4A88-B037-167C6EEEC7E1}">
      <formula1>3</formula1>
      <formula2>44</formula2>
    </dataValidation>
    <dataValidation allowBlank="1" showInputMessage="1" showErrorMessage="1" prompt="Saisir ici le nombre de semaine de lactation moyen des vaches qui seront réformées prématurément pour diminuer le troupeau de vaches laitières" sqref="D57" xr:uid="{04FB5C70-7A9D-49AA-A1B5-24F5C7E8A5FD}"/>
    <dataValidation type="whole" allowBlank="1" showInputMessage="1" showErrorMessage="1" prompt="C'est une charge. Saisir une valeur négative." sqref="G80" xr:uid="{B542C8ED-D7AD-4CCE-B2E8-D2B0F6861FE4}">
      <formula1>-2000</formula1>
      <formula2>0</formula2>
    </dataValidation>
    <dataValidation allowBlank="1" showInputMessage="1" showErrorMessage="1" prompt="Base de calcul : valeur d'une coupe d'herbe de 15 dt = Fr. 110.- à 15% de M.S." sqref="F81" xr:uid="{2C7C67B2-B65C-4351-8C4B-AB368F7719B3}"/>
    <dataValidation type="whole" allowBlank="1" showInputMessage="1" showErrorMessage="1" prompt="C'est une charge. Saisir une valeur négative." sqref="G72:G76 G121:G123" xr:uid="{4713C913-9B25-4D3E-B6E9-A73902D24E54}">
      <formula1>-1000</formula1>
      <formula2>0</formula2>
    </dataValidation>
  </dataValidations>
  <pageMargins left="0.23622047244094491" right="0.23622047244094491" top="0.27559055118110237" bottom="0.27559055118110237" header="0.19685039370078741" footer="7.874015748031496E-2"/>
  <pageSetup paperSize="9" orientation="landscape" cellComments="asDisplayed" r:id="rId1"/>
  <headerFooter>
    <oddFooter>&amp;LFRI&amp;R&amp;D</oddFooter>
  </headerFooter>
  <rowBreaks count="3" manualBreakCount="3">
    <brk id="36" max="16383" man="1"/>
    <brk id="99" max="16383" man="1"/>
    <brk id="1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0642-0BAF-40F3-B3F0-F8E8FA582757}">
  <dimension ref="A1:T153"/>
  <sheetViews>
    <sheetView showGridLines="0" zoomScale="115" zoomScaleNormal="115" workbookViewId="0">
      <selection activeCell="K23" sqref="K23"/>
    </sheetView>
  </sheetViews>
  <sheetFormatPr baseColWidth="10" defaultColWidth="0" defaultRowHeight="15" customHeight="1" zeroHeight="1" x14ac:dyDescent="0.25"/>
  <cols>
    <col min="1" max="11" width="12.7109375" customWidth="1"/>
    <col min="12" max="12" width="0.7109375" customWidth="1"/>
    <col min="13" max="13" width="30.5703125" hidden="1" customWidth="1"/>
    <col min="14" max="14" width="10.85546875" hidden="1" customWidth="1"/>
    <col min="15" max="15" width="14.7109375" hidden="1" customWidth="1"/>
    <col min="16" max="16" width="7.7109375" hidden="1" customWidth="1"/>
    <col min="17" max="17" width="14.7109375" hidden="1" customWidth="1"/>
    <col min="18" max="18" width="7.7109375" hidden="1" customWidth="1"/>
    <col min="19" max="19" width="14.7109375" hidden="1" customWidth="1"/>
    <col min="20" max="20" width="7.7109375" hidden="1" customWidth="1"/>
    <col min="21" max="16384" width="11.42578125" hidden="1"/>
  </cols>
  <sheetData>
    <row r="1" spans="1:11" ht="21.75" thickBot="1" x14ac:dyDescent="0.4">
      <c r="A1" s="127" t="s">
        <v>122</v>
      </c>
      <c r="B1" s="127"/>
      <c r="C1" s="128" t="s">
        <v>138</v>
      </c>
      <c r="D1" s="128"/>
      <c r="E1" s="128"/>
      <c r="F1" s="128"/>
      <c r="G1" s="128"/>
      <c r="H1" s="128"/>
      <c r="I1" s="128"/>
      <c r="J1" s="128"/>
      <c r="K1" s="128"/>
    </row>
    <row r="2" spans="1:11" ht="4.5" customHeight="1" thickBot="1" x14ac:dyDescent="0.3"/>
    <row r="3" spans="1:11" ht="27" customHeight="1" thickBot="1" x14ac:dyDescent="0.3">
      <c r="A3" s="129" t="str">
        <f>'Simulation A1'!A3</f>
        <v xml:space="preserve">Hypothèse de prix du lait de février à juin selon information Mooh du 14.01.2026 incluant la contribution fédérale de 5cts. Spécificité du modèle de planification : bonus 1.5 cts sur l’ensemble du volume de lait livré, pénalité moyenne de 32.8 cts par kg de lait surlivré. Spécificité du modèle de base 4% valorisé en lait C à 21cts. </v>
      </c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4.5" customHeight="1" x14ac:dyDescent="0.25"/>
    <row r="5" spans="1:11" ht="13.5" customHeight="1" x14ac:dyDescent="0.25">
      <c r="A5" t="s">
        <v>1</v>
      </c>
      <c r="D5" s="132" t="s">
        <v>119</v>
      </c>
      <c r="E5" s="132"/>
      <c r="G5" t="s">
        <v>3</v>
      </c>
      <c r="K5" s="31">
        <v>150</v>
      </c>
    </row>
    <row r="6" spans="1:11" ht="13.5" customHeight="1" x14ac:dyDescent="0.25">
      <c r="A6" s="71" t="str">
        <f>IF(D5="Modèle de base","",IF(D5="Modèle de planification","Quantité mensuelle annoncée [kg]"))</f>
        <v/>
      </c>
      <c r="B6" s="71"/>
      <c r="C6" s="71"/>
      <c r="D6" s="71"/>
      <c r="E6" s="72"/>
      <c r="G6" t="s">
        <v>4</v>
      </c>
      <c r="K6" s="50">
        <f>'Simulation A1'!K6</f>
        <v>0.84943999999999997</v>
      </c>
    </row>
    <row r="7" spans="1:11" ht="13.5" customHeight="1" x14ac:dyDescent="0.25">
      <c r="A7" t="s">
        <v>5</v>
      </c>
      <c r="E7" s="31">
        <f>'Simulation A1'!E7</f>
        <v>306000</v>
      </c>
      <c r="G7" t="s">
        <v>6</v>
      </c>
      <c r="K7" s="50">
        <f>'Simulation A1'!K7</f>
        <v>0.88900000000000001</v>
      </c>
    </row>
    <row r="8" spans="1:11" ht="13.5" customHeight="1" x14ac:dyDescent="0.25">
      <c r="A8" t="s">
        <v>7</v>
      </c>
      <c r="E8" s="31">
        <f>'Simulation A1'!E8</f>
        <v>127500</v>
      </c>
      <c r="G8" t="s">
        <v>8</v>
      </c>
      <c r="H8" s="73"/>
      <c r="I8" s="73"/>
      <c r="J8" s="73"/>
      <c r="K8" s="50">
        <f>'Simulation A1'!K8</f>
        <v>0.56100000000000017</v>
      </c>
    </row>
    <row r="9" spans="1:11" ht="13.5" customHeight="1" thickBot="1" x14ac:dyDescent="0.3">
      <c r="A9" t="s">
        <v>9</v>
      </c>
      <c r="G9" s="31">
        <v>140500</v>
      </c>
      <c r="I9" s="69"/>
      <c r="J9" s="74" t="s">
        <v>139</v>
      </c>
      <c r="K9" s="66">
        <f>(G9/E8)-1</f>
        <v>0.10196078431372557</v>
      </c>
    </row>
    <row r="10" spans="1:11" ht="13.5" customHeight="1" thickTop="1" thickBot="1" x14ac:dyDescent="0.3">
      <c r="A10" t="s">
        <v>10</v>
      </c>
      <c r="G10" s="67">
        <f>G9-E27-E90-E130</f>
        <v>114445.93664270992</v>
      </c>
      <c r="I10" s="69"/>
      <c r="J10" s="74" t="s">
        <v>140</v>
      </c>
      <c r="K10" s="68">
        <f>(G10/E8)-1</f>
        <v>-0.10238481064541238</v>
      </c>
    </row>
    <row r="11" spans="1:11" ht="13.5" customHeight="1" thickTop="1" thickBot="1" x14ac:dyDescent="0.3">
      <c r="A11" t="str">
        <f>IF(D5="Modèle de base","Diminution de quantité par rapport à la même période 2025 [kg]",IF(D5="Modèle de planification","Surlivraisons dans le modèle de planification [kg]",""))</f>
        <v>Diminution de quantité par rapport à la même période 2025 [kg]</v>
      </c>
      <c r="F11" s="77">
        <f>IF(D5="Modèle de planification",IF(G10-(E6*5)&lt;=0,0,G10-(E6*5)),IF(D5="Modèle de base",IF(E8-G10&lt;0,0,E8-G10),""))</f>
        <v>13054.063357290084</v>
      </c>
      <c r="H11" s="70"/>
      <c r="I11" s="69"/>
      <c r="J11" s="74" t="str">
        <f>IF(D5="Modèle de planification","Taux de surlivraison en modèle planification","")</f>
        <v/>
      </c>
      <c r="K11" s="66" t="str">
        <f>IF(D5="Modèle de planification",IF(F11&gt;0,F11/(E6*5),0),"")</f>
        <v/>
      </c>
    </row>
    <row r="12" spans="1:11" ht="13.5" customHeight="1" thickBot="1" x14ac:dyDescent="0.3">
      <c r="H12" s="70"/>
      <c r="I12" s="69"/>
      <c r="J12" s="74" t="str">
        <f>IF(D5="Modèle de base","Supplément de prix pour diminution de la quantité produit en modèle de base [Fr./kg]",IF(D5="Modèle de planification","Diminution de prix pour surlivraison en modèle planification [Fr./kg]"))</f>
        <v>Supplément de prix pour diminution de la quantité produit en modèle de base [Fr./kg]</v>
      </c>
      <c r="K12" s="75">
        <f>IF(D5="Modèle de planification",-K11*(K7-K8),IF(D5="Modèle de base",IF(K10&lt;=-0.1,0.04,IF(K10&lt;=-0.05,0.02,0))))</f>
        <v>0.04</v>
      </c>
    </row>
    <row r="13" spans="1:11" ht="13.5" customHeight="1" thickTop="1" thickBot="1" x14ac:dyDescent="0.3">
      <c r="C13" s="78"/>
      <c r="G13" s="75"/>
      <c r="J13" s="74" t="str">
        <f>IF(D5="Modèle de planification","Prix du lait après éventuelles réductions pour surlivraisons [Fr./kg]",IF(D5="Modèle de base","Prix du lait après mesures volontaire de réduction [Fr./kg]"))</f>
        <v>Prix du lait après mesures volontaire de réduction [Fr./kg]</v>
      </c>
      <c r="K13" s="76">
        <f>IF(D5="Modèle de base",SUM(K6,K12),IF(D5="Modèle de planification",SUM(K7,K12)))</f>
        <v>0.88944000000000001</v>
      </c>
    </row>
    <row r="14" spans="1:11" ht="4.5" customHeight="1" thickTop="1" x14ac:dyDescent="0.25"/>
    <row r="15" spans="1:11" ht="15" customHeight="1" x14ac:dyDescent="0.25">
      <c r="A15" s="105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4.5" customHeight="1" x14ac:dyDescent="0.25"/>
    <row r="17" spans="1:11" x14ac:dyDescent="0.25">
      <c r="A17" s="104" t="s">
        <v>12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ht="13.5" customHeight="1" x14ac:dyDescent="0.25">
      <c r="A18" t="s">
        <v>13</v>
      </c>
      <c r="F18" s="30">
        <f>'Simulation A1'!F18</f>
        <v>7.3</v>
      </c>
      <c r="H18" s="101"/>
      <c r="I18" s="101"/>
      <c r="J18" s="101"/>
      <c r="K18" s="101"/>
    </row>
    <row r="19" spans="1:11" ht="13.5" customHeight="1" x14ac:dyDescent="0.25">
      <c r="A19" t="s">
        <v>14</v>
      </c>
      <c r="F19" s="30">
        <f>'Simulation A1'!F19</f>
        <v>144</v>
      </c>
      <c r="H19" s="101"/>
      <c r="I19" s="101"/>
      <c r="J19" s="101"/>
      <c r="K19" s="101"/>
    </row>
    <row r="20" spans="1:11" ht="13.5" customHeight="1" x14ac:dyDescent="0.25">
      <c r="A20" t="s">
        <v>15</v>
      </c>
      <c r="F20" s="82">
        <v>150</v>
      </c>
      <c r="G20" s="85" t="s">
        <v>16</v>
      </c>
      <c r="H20" s="101"/>
      <c r="I20" s="101"/>
      <c r="J20" s="101"/>
      <c r="K20" s="101"/>
    </row>
    <row r="21" spans="1:11" ht="13.5" customHeight="1" x14ac:dyDescent="0.25">
      <c r="A21" t="s">
        <v>17</v>
      </c>
      <c r="F21" s="2">
        <f>F20/150</f>
        <v>1</v>
      </c>
      <c r="H21" s="101"/>
      <c r="I21" s="101"/>
      <c r="J21" s="101"/>
      <c r="K21" s="101"/>
    </row>
    <row r="22" spans="1:11" ht="13.5" customHeight="1" x14ac:dyDescent="0.25">
      <c r="A22" t="s">
        <v>18</v>
      </c>
      <c r="E22" s="3"/>
      <c r="F22">
        <v>45</v>
      </c>
      <c r="H22" s="101"/>
      <c r="I22" s="101"/>
      <c r="J22" s="101"/>
      <c r="K22" s="101"/>
    </row>
    <row r="23" spans="1:11" ht="13.5" customHeight="1" x14ac:dyDescent="0.25">
      <c r="A23" t="s">
        <v>19</v>
      </c>
      <c r="D23" s="5"/>
      <c r="F23" s="3">
        <f>F20*F18/3.14</f>
        <v>348.72611464968151</v>
      </c>
    </row>
    <row r="24" spans="1:11" ht="13.5" customHeight="1" x14ac:dyDescent="0.25">
      <c r="A24" t="s">
        <v>20</v>
      </c>
      <c r="F24" s="2">
        <f>F23/150</f>
        <v>2.3248407643312099</v>
      </c>
    </row>
    <row r="25" spans="1:11" ht="4.5" customHeight="1" x14ac:dyDescent="0.25">
      <c r="D25" s="2"/>
      <c r="E25" s="28"/>
    </row>
    <row r="26" spans="1:11" ht="15.75" thickBot="1" x14ac:dyDescent="0.3">
      <c r="A26" s="104" t="s">
        <v>21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1" ht="13.5" customHeight="1" thickBot="1" x14ac:dyDescent="0.3">
      <c r="A27" t="s">
        <v>22</v>
      </c>
      <c r="D27" s="2"/>
      <c r="E27" s="79">
        <f>(F23*F22)</f>
        <v>15692.675159235669</v>
      </c>
    </row>
    <row r="28" spans="1:11" ht="4.9000000000000004" customHeight="1" x14ac:dyDescent="0.25">
      <c r="D28" s="2"/>
      <c r="E28" s="3"/>
    </row>
    <row r="29" spans="1:11" x14ac:dyDescent="0.25">
      <c r="A29" s="104" t="s">
        <v>23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1" ht="4.9000000000000004" customHeight="1" x14ac:dyDescent="0.25"/>
    <row r="31" spans="1:11" ht="30" customHeight="1" x14ac:dyDescent="0.25">
      <c r="A31" s="109" t="s">
        <v>24</v>
      </c>
      <c r="B31" s="110"/>
      <c r="C31" s="88" t="s">
        <v>25</v>
      </c>
      <c r="D31" s="88" t="s">
        <v>26</v>
      </c>
      <c r="E31" s="88" t="s">
        <v>27</v>
      </c>
      <c r="F31" s="88" t="s">
        <v>28</v>
      </c>
      <c r="G31" s="124" t="s">
        <v>29</v>
      </c>
      <c r="H31" s="124"/>
      <c r="I31" s="120" t="s">
        <v>30</v>
      </c>
      <c r="J31" s="121"/>
    </row>
    <row r="32" spans="1:11" ht="13.5" customHeight="1" x14ac:dyDescent="0.25">
      <c r="A32" s="107" t="s">
        <v>31</v>
      </c>
      <c r="B32" s="108"/>
      <c r="C32" s="8">
        <f>-F20*F22/100</f>
        <v>-67.5</v>
      </c>
      <c r="D32" s="86" t="s">
        <v>32</v>
      </c>
      <c r="E32" s="8">
        <f>F19</f>
        <v>144</v>
      </c>
      <c r="F32" s="4">
        <f>-C32*E32</f>
        <v>9720</v>
      </c>
      <c r="G32" s="122">
        <f>F32/$G$10</f>
        <v>8.4930931452332645E-2</v>
      </c>
      <c r="H32" s="122"/>
      <c r="I32" s="122">
        <f>IFERROR(F32/E27,0)</f>
        <v>0.61939726027397257</v>
      </c>
      <c r="J32" s="122"/>
    </row>
    <row r="33" spans="1:11" ht="13.5" customHeight="1" x14ac:dyDescent="0.25">
      <c r="A33" s="107" t="s">
        <v>33</v>
      </c>
      <c r="B33" s="108"/>
      <c r="C33" s="13">
        <f>-E27</f>
        <v>-15692.675159235669</v>
      </c>
      <c r="D33" s="86" t="s">
        <v>34</v>
      </c>
      <c r="E33" s="87">
        <f>K13</f>
        <v>0.88944000000000001</v>
      </c>
      <c r="F33" s="4">
        <f>C33*E33</f>
        <v>-13957.692993630573</v>
      </c>
      <c r="G33" s="122">
        <f>F33/$G$10</f>
        <v>-0.12195883404061129</v>
      </c>
      <c r="H33" s="122"/>
      <c r="I33" s="122">
        <f>IFERROR(F33/E27,0)</f>
        <v>-0.88944000000000001</v>
      </c>
      <c r="J33" s="122"/>
    </row>
    <row r="34" spans="1:11" ht="4.9000000000000004" customHeight="1" thickBot="1" x14ac:dyDescent="0.3">
      <c r="F34" s="5"/>
      <c r="G34" s="5"/>
      <c r="I34" s="5"/>
    </row>
    <row r="35" spans="1:11" ht="13.5" customHeight="1" thickTop="1" thickBot="1" x14ac:dyDescent="0.3">
      <c r="A35" s="1" t="s">
        <v>35</v>
      </c>
      <c r="B35" s="1"/>
      <c r="F35" s="6">
        <f>SUM(F32:F33)</f>
        <v>-4237.6929936305733</v>
      </c>
      <c r="G35" s="111">
        <f>SUM(G32:G33)</f>
        <v>-3.7027902588278649E-2</v>
      </c>
      <c r="H35" s="112"/>
      <c r="I35" s="111">
        <f>SUM(I32:I33)</f>
        <v>-0.27004273972602744</v>
      </c>
      <c r="J35" s="112"/>
    </row>
    <row r="36" spans="1:11" ht="4.9000000000000004" customHeight="1" thickTop="1" x14ac:dyDescent="0.25"/>
    <row r="37" spans="1:11" x14ac:dyDescent="0.25">
      <c r="A37" s="105" t="s">
        <v>36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1" ht="4.5" customHeight="1" x14ac:dyDescent="0.25"/>
    <row r="39" spans="1:11" x14ac:dyDescent="0.25">
      <c r="A39" s="104" t="s">
        <v>12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ht="4.9000000000000004" customHeight="1" x14ac:dyDescent="0.25"/>
    <row r="41" spans="1:11" x14ac:dyDescent="0.25">
      <c r="A41" s="23" t="s">
        <v>37</v>
      </c>
      <c r="B41" s="24"/>
      <c r="C41" s="24"/>
      <c r="D41" s="24"/>
      <c r="E41" s="24"/>
      <c r="F41" s="24"/>
      <c r="G41" s="24"/>
      <c r="H41" s="24"/>
      <c r="I41" s="24"/>
    </row>
    <row r="42" spans="1:11" ht="4.9000000000000004" customHeight="1" x14ac:dyDescent="0.25"/>
    <row r="43" spans="1:11" ht="13.5" customHeight="1" x14ac:dyDescent="0.25">
      <c r="A43" s="9" t="s">
        <v>38</v>
      </c>
      <c r="B43" s="9"/>
      <c r="C43" s="106" t="s">
        <v>39</v>
      </c>
      <c r="D43" s="106"/>
      <c r="E43" s="9" t="s">
        <v>40</v>
      </c>
      <c r="F43" s="106" t="s">
        <v>41</v>
      </c>
      <c r="G43" s="106"/>
    </row>
    <row r="44" spans="1:11" ht="13.5" customHeight="1" x14ac:dyDescent="0.25">
      <c r="A44" s="8" t="s">
        <v>42</v>
      </c>
      <c r="B44" s="8"/>
      <c r="C44" s="103">
        <v>16.600000000000001</v>
      </c>
      <c r="D44" s="103"/>
      <c r="E44" s="32">
        <v>0.15</v>
      </c>
      <c r="F44" s="102">
        <f>IFERROR(C44/E44,"")</f>
        <v>110.66666666666669</v>
      </c>
      <c r="G44" s="102"/>
    </row>
    <row r="45" spans="1:11" ht="13.5" customHeight="1" x14ac:dyDescent="0.25">
      <c r="A45" s="107" t="s">
        <v>43</v>
      </c>
      <c r="B45" s="108"/>
      <c r="C45" s="103">
        <v>15.32</v>
      </c>
      <c r="D45" s="103"/>
      <c r="E45" s="32">
        <v>0.88</v>
      </c>
      <c r="F45" s="102">
        <f>IFERROR(C45/E45,"")</f>
        <v>17.40909090909091</v>
      </c>
      <c r="G45" s="102"/>
    </row>
    <row r="46" spans="1:11" ht="13.5" customHeight="1" x14ac:dyDescent="0.25">
      <c r="A46" s="8" t="s">
        <v>44</v>
      </c>
      <c r="B46" s="8"/>
      <c r="C46" s="103">
        <v>23.1</v>
      </c>
      <c r="D46" s="103"/>
      <c r="E46" s="32">
        <v>0.3</v>
      </c>
      <c r="F46" s="102">
        <f>IFERROR(C46/E46,"")</f>
        <v>77.000000000000014</v>
      </c>
      <c r="G46" s="102"/>
    </row>
    <row r="47" spans="1:11" ht="13.5" customHeight="1" x14ac:dyDescent="0.25">
      <c r="A47" s="8" t="s">
        <v>45</v>
      </c>
      <c r="B47" s="8"/>
      <c r="C47" s="103">
        <v>11.68</v>
      </c>
      <c r="D47" s="103"/>
      <c r="E47" s="32">
        <v>0.32</v>
      </c>
      <c r="F47" s="102">
        <f>IFERROR(C47/E47,"")</f>
        <v>36.5</v>
      </c>
      <c r="G47" s="102"/>
    </row>
    <row r="48" spans="1:11" ht="13.5" customHeight="1" x14ac:dyDescent="0.25">
      <c r="A48" s="115" t="s">
        <v>46</v>
      </c>
      <c r="B48" s="116"/>
      <c r="C48" s="103"/>
      <c r="D48" s="103"/>
      <c r="E48" s="32"/>
      <c r="F48" s="102" t="str">
        <f>IFERROR(C48/E48,"")</f>
        <v/>
      </c>
      <c r="G48" s="102"/>
    </row>
    <row r="49" spans="1:11" ht="13.5" customHeight="1" x14ac:dyDescent="0.25">
      <c r="A49" s="1" t="s">
        <v>47</v>
      </c>
      <c r="B49" s="1"/>
      <c r="C49" s="117">
        <f>SUM(C44:D48)</f>
        <v>66.7</v>
      </c>
      <c r="D49" s="117"/>
      <c r="E49" s="1"/>
      <c r="F49" s="118">
        <f>SUM(F44:G48)</f>
        <v>241.57575757575762</v>
      </c>
      <c r="G49" s="118"/>
    </row>
    <row r="50" spans="1:11" ht="4.9000000000000004" customHeight="1" x14ac:dyDescent="0.25"/>
    <row r="51" spans="1:11" x14ac:dyDescent="0.25">
      <c r="A51" s="23" t="s">
        <v>48</v>
      </c>
      <c r="B51" s="24"/>
      <c r="C51" s="24"/>
      <c r="D51" s="24"/>
      <c r="E51" s="24"/>
      <c r="F51" s="24"/>
      <c r="G51" s="24"/>
      <c r="H51" s="24"/>
      <c r="I51" s="24"/>
    </row>
    <row r="52" spans="1:11" ht="13.5" customHeight="1" x14ac:dyDescent="0.25">
      <c r="A52" t="s">
        <v>49</v>
      </c>
      <c r="D52" s="31">
        <f>'Simulation A1'!D52</f>
        <v>3200</v>
      </c>
    </row>
    <row r="53" spans="1:11" ht="13.5" customHeight="1" x14ac:dyDescent="0.25">
      <c r="A53" t="s">
        <v>50</v>
      </c>
      <c r="D53" s="31">
        <f>'Simulation A1'!D53</f>
        <v>3300</v>
      </c>
    </row>
    <row r="54" spans="1:11" ht="13.5" customHeight="1" x14ac:dyDescent="0.25">
      <c r="A54" t="s">
        <v>51</v>
      </c>
      <c r="D54" s="31">
        <f>'Simulation A1'!D54</f>
        <v>650</v>
      </c>
    </row>
    <row r="55" spans="1:11" ht="13.5" customHeight="1" x14ac:dyDescent="0.25">
      <c r="A55" t="s">
        <v>52</v>
      </c>
      <c r="D55" s="33">
        <v>3.5</v>
      </c>
      <c r="F55" t="s">
        <v>53</v>
      </c>
      <c r="K55" s="43">
        <f>VLOOKUP(D56,'Solde de lait à traire'!$A$4:$B$47,2,FALSE)/100</f>
        <v>0.35438487128960106</v>
      </c>
    </row>
    <row r="56" spans="1:11" ht="13.5" customHeight="1" x14ac:dyDescent="0.25">
      <c r="A56" t="s">
        <v>54</v>
      </c>
      <c r="D56" s="31">
        <v>25</v>
      </c>
      <c r="F56" t="s">
        <v>55</v>
      </c>
      <c r="K56" s="43">
        <f>(44-D56)/44</f>
        <v>0.43181818181818182</v>
      </c>
    </row>
    <row r="57" spans="1:11" ht="13.5" customHeight="1" x14ac:dyDescent="0.25">
      <c r="A57" t="s">
        <v>56</v>
      </c>
      <c r="I57" s="83">
        <v>2</v>
      </c>
      <c r="J57" s="85" t="s">
        <v>16</v>
      </c>
    </row>
    <row r="58" spans="1:11" ht="4.9000000000000004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</row>
    <row r="59" spans="1:11" x14ac:dyDescent="0.25">
      <c r="A59" s="23" t="s">
        <v>57</v>
      </c>
      <c r="B59" s="24"/>
      <c r="C59" s="24"/>
      <c r="D59" s="24"/>
      <c r="E59" s="24"/>
      <c r="F59" s="24"/>
      <c r="G59" s="24"/>
      <c r="H59" s="24"/>
      <c r="I59" s="24"/>
    </row>
    <row r="60" spans="1:11" ht="4.9000000000000004" customHeight="1" x14ac:dyDescent="0.25"/>
    <row r="61" spans="1:11" s="47" customFormat="1" ht="60" x14ac:dyDescent="0.25">
      <c r="A61" s="139"/>
      <c r="B61" s="139"/>
      <c r="C61" s="139"/>
      <c r="D61" s="45" t="s">
        <v>25</v>
      </c>
      <c r="E61" s="46" t="s">
        <v>26</v>
      </c>
      <c r="F61" s="45" t="s">
        <v>58</v>
      </c>
      <c r="G61" s="45" t="s">
        <v>59</v>
      </c>
      <c r="H61" s="45" t="s">
        <v>60</v>
      </c>
      <c r="I61" s="46" t="s">
        <v>61</v>
      </c>
      <c r="J61"/>
    </row>
    <row r="62" spans="1:11" ht="13.5" customHeight="1" x14ac:dyDescent="0.25">
      <c r="A62" s="17" t="s">
        <v>62</v>
      </c>
      <c r="B62" s="18"/>
      <c r="C62" s="19"/>
      <c r="D62" s="34">
        <f>'Simulation A1'!D62</f>
        <v>7000</v>
      </c>
      <c r="E62" s="8" t="s">
        <v>63</v>
      </c>
      <c r="F62" s="12">
        <f>K13</f>
        <v>0.88944000000000001</v>
      </c>
      <c r="G62" s="13">
        <f>D62*F62</f>
        <v>6226.08</v>
      </c>
      <c r="H62" s="44">
        <f>$K$55</f>
        <v>0.35438487128960106</v>
      </c>
      <c r="I62" s="13">
        <f>-G62*H62</f>
        <v>-2206.4285594387593</v>
      </c>
    </row>
    <row r="63" spans="1:11" ht="13.5" customHeight="1" x14ac:dyDescent="0.25">
      <c r="A63" s="17" t="s">
        <v>64</v>
      </c>
      <c r="B63" s="18"/>
      <c r="C63" s="19"/>
      <c r="D63" s="26">
        <f>1/D55</f>
        <v>0.2857142857142857</v>
      </c>
      <c r="E63" s="8" t="s">
        <v>65</v>
      </c>
      <c r="F63" s="27">
        <f>D52</f>
        <v>3200</v>
      </c>
      <c r="G63" s="13">
        <f>D63*F63</f>
        <v>914.28571428571422</v>
      </c>
      <c r="H63" s="44">
        <v>0</v>
      </c>
      <c r="I63" s="13">
        <f t="shared" ref="I63:I66" si="0">-G63*H63</f>
        <v>0</v>
      </c>
    </row>
    <row r="64" spans="1:11" ht="13.5" customHeight="1" x14ac:dyDescent="0.25">
      <c r="A64" s="17" t="s">
        <v>66</v>
      </c>
      <c r="B64" s="18"/>
      <c r="C64" s="19"/>
      <c r="D64" s="35">
        <v>0.95</v>
      </c>
      <c r="E64" s="8" t="s">
        <v>67</v>
      </c>
      <c r="F64" s="27">
        <f>D54</f>
        <v>650</v>
      </c>
      <c r="G64" s="13">
        <f>D64*F64</f>
        <v>617.5</v>
      </c>
      <c r="H64" s="44">
        <v>0</v>
      </c>
      <c r="I64" s="13">
        <f t="shared" si="0"/>
        <v>0</v>
      </c>
    </row>
    <row r="65" spans="1:10" ht="13.5" customHeight="1" x14ac:dyDescent="0.25">
      <c r="A65" s="17" t="s">
        <v>68</v>
      </c>
      <c r="B65" s="18"/>
      <c r="C65" s="19"/>
      <c r="D65" s="26">
        <f>D63</f>
        <v>0.2857142857142857</v>
      </c>
      <c r="E65" s="8" t="s">
        <v>69</v>
      </c>
      <c r="F65" s="27">
        <f>D53</f>
        <v>3300</v>
      </c>
      <c r="G65" s="13">
        <f>-D65*F65</f>
        <v>-942.85714285714278</v>
      </c>
      <c r="H65" s="44">
        <v>0</v>
      </c>
      <c r="I65" s="13">
        <f t="shared" si="0"/>
        <v>0</v>
      </c>
    </row>
    <row r="66" spans="1:10" ht="13.5" customHeight="1" x14ac:dyDescent="0.25">
      <c r="A66" s="17" t="s">
        <v>31</v>
      </c>
      <c r="B66" s="18"/>
      <c r="C66" s="19"/>
      <c r="D66" s="14"/>
      <c r="E66" s="14"/>
      <c r="F66" s="14"/>
      <c r="G66" s="13">
        <f>SUM(G67:G71)</f>
        <v>-596.07999999999993</v>
      </c>
      <c r="H66" s="44">
        <f>$K$55</f>
        <v>0.35438487128960106</v>
      </c>
      <c r="I66" s="13">
        <f t="shared" si="0"/>
        <v>211.24173407830537</v>
      </c>
    </row>
    <row r="67" spans="1:10" s="7" customFormat="1" ht="13.5" customHeight="1" x14ac:dyDescent="0.25">
      <c r="A67" s="20" t="s">
        <v>70</v>
      </c>
      <c r="B67" s="21"/>
      <c r="C67" s="22"/>
      <c r="D67" s="36">
        <f>'Simulation A1'!D67</f>
        <v>0</v>
      </c>
      <c r="E67" s="8" t="s">
        <v>63</v>
      </c>
      <c r="F67" s="37">
        <f>'Simulation A1'!F67</f>
        <v>0</v>
      </c>
      <c r="G67" s="15">
        <f>-D67*F67</f>
        <v>0</v>
      </c>
      <c r="H67" s="14"/>
      <c r="I67" s="14"/>
      <c r="J67"/>
    </row>
    <row r="68" spans="1:10" s="7" customFormat="1" ht="13.5" customHeight="1" x14ac:dyDescent="0.25">
      <c r="A68" s="20" t="s">
        <v>71</v>
      </c>
      <c r="B68" s="21"/>
      <c r="C68" s="22"/>
      <c r="D68" s="36">
        <f>'Simulation A1'!D68</f>
        <v>206</v>
      </c>
      <c r="E68" s="8" t="s">
        <v>63</v>
      </c>
      <c r="F68" s="37">
        <f>'Simulation A1'!F68</f>
        <v>1.1399999999999999</v>
      </c>
      <c r="G68" s="15">
        <f>-D68*F68</f>
        <v>-234.83999999999997</v>
      </c>
      <c r="H68" s="14"/>
      <c r="I68" s="14"/>
      <c r="J68"/>
    </row>
    <row r="69" spans="1:10" s="7" customFormat="1" ht="13.5" customHeight="1" x14ac:dyDescent="0.25">
      <c r="A69" s="20" t="s">
        <v>72</v>
      </c>
      <c r="B69" s="21"/>
      <c r="C69" s="22"/>
      <c r="D69" s="36">
        <f>'Simulation A1'!D69</f>
        <v>173</v>
      </c>
      <c r="E69" s="8" t="s">
        <v>63</v>
      </c>
      <c r="F69" s="99">
        <f>'Simulation A1'!F69</f>
        <v>1.38</v>
      </c>
      <c r="G69" s="15">
        <f>-D69*F69</f>
        <v>-238.73999999999998</v>
      </c>
      <c r="H69" s="14"/>
      <c r="I69" s="14"/>
      <c r="J69"/>
    </row>
    <row r="70" spans="1:10" s="7" customFormat="1" ht="13.5" customHeight="1" x14ac:dyDescent="0.25">
      <c r="A70" s="20" t="s">
        <v>73</v>
      </c>
      <c r="B70" s="21"/>
      <c r="C70" s="22"/>
      <c r="D70" s="36">
        <f>'Simulation A1'!D70</f>
        <v>45</v>
      </c>
      <c r="E70" s="8" t="s">
        <v>63</v>
      </c>
      <c r="F70" s="37">
        <f>'Simulation A1'!F70</f>
        <v>2.5</v>
      </c>
      <c r="G70" s="15">
        <f>-D70*F70</f>
        <v>-112.5</v>
      </c>
      <c r="H70" s="14"/>
      <c r="I70" s="14"/>
      <c r="J70"/>
    </row>
    <row r="71" spans="1:10" s="7" customFormat="1" ht="13.5" customHeight="1" x14ac:dyDescent="0.25">
      <c r="A71" s="20" t="s">
        <v>74</v>
      </c>
      <c r="B71" s="21"/>
      <c r="C71" s="22"/>
      <c r="D71" s="36">
        <v>20</v>
      </c>
      <c r="E71" s="8" t="s">
        <v>63</v>
      </c>
      <c r="F71" s="37">
        <v>0.5</v>
      </c>
      <c r="G71" s="15">
        <f>-D71*F71</f>
        <v>-10</v>
      </c>
      <c r="H71" s="14"/>
      <c r="I71" s="14"/>
      <c r="J71"/>
    </row>
    <row r="72" spans="1:10" ht="13.5" customHeight="1" x14ac:dyDescent="0.25">
      <c r="A72" s="17" t="s">
        <v>75</v>
      </c>
      <c r="B72" s="18"/>
      <c r="C72" s="19"/>
      <c r="D72" s="14"/>
      <c r="E72" s="14"/>
      <c r="F72" s="14"/>
      <c r="G72" s="38">
        <f>'Simulation A1'!G72</f>
        <v>-140</v>
      </c>
      <c r="H72" s="44">
        <f>$K$56</f>
        <v>0.43181818181818182</v>
      </c>
      <c r="I72" s="13">
        <f t="shared" ref="I72:I76" si="1">-G72*H72</f>
        <v>60.454545454545453</v>
      </c>
    </row>
    <row r="73" spans="1:10" ht="13.5" customHeight="1" x14ac:dyDescent="0.25">
      <c r="A73" s="17" t="s">
        <v>76</v>
      </c>
      <c r="B73" s="18"/>
      <c r="C73" s="19"/>
      <c r="D73" s="14"/>
      <c r="E73" s="14"/>
      <c r="F73" s="14"/>
      <c r="G73" s="38">
        <f>'Simulation A1'!G73</f>
        <v>-128</v>
      </c>
      <c r="H73" s="44">
        <v>0</v>
      </c>
      <c r="I73" s="13">
        <f t="shared" si="1"/>
        <v>0</v>
      </c>
    </row>
    <row r="74" spans="1:10" ht="13.5" customHeight="1" x14ac:dyDescent="0.25">
      <c r="A74" s="17" t="s">
        <v>77</v>
      </c>
      <c r="B74" s="18"/>
      <c r="C74" s="19"/>
      <c r="D74" s="14"/>
      <c r="E74" s="14"/>
      <c r="F74" s="14"/>
      <c r="G74" s="38">
        <v>-133</v>
      </c>
      <c r="H74" s="44">
        <f>$K$56</f>
        <v>0.43181818181818182</v>
      </c>
      <c r="I74" s="13">
        <f t="shared" si="1"/>
        <v>57.43181818181818</v>
      </c>
    </row>
    <row r="75" spans="1:10" ht="13.5" customHeight="1" x14ac:dyDescent="0.25">
      <c r="A75" s="17" t="s">
        <v>78</v>
      </c>
      <c r="B75" s="18"/>
      <c r="C75" s="19"/>
      <c r="D75" s="14"/>
      <c r="E75" s="14"/>
      <c r="F75" s="14"/>
      <c r="G75" s="38">
        <v>-34</v>
      </c>
      <c r="H75" s="44">
        <f>$K$56</f>
        <v>0.43181818181818182</v>
      </c>
      <c r="I75" s="13">
        <f t="shared" si="1"/>
        <v>14.681818181818182</v>
      </c>
    </row>
    <row r="76" spans="1:10" ht="13.5" customHeight="1" x14ac:dyDescent="0.25">
      <c r="A76" s="17" t="s">
        <v>79</v>
      </c>
      <c r="B76" s="18"/>
      <c r="C76" s="19"/>
      <c r="D76" s="14"/>
      <c r="E76" s="14"/>
      <c r="F76" s="14"/>
      <c r="G76" s="13">
        <f>SUM(G77:G79)</f>
        <v>265</v>
      </c>
      <c r="H76" s="44">
        <f>$K$56</f>
        <v>0.43181818181818182</v>
      </c>
      <c r="I76" s="13">
        <f t="shared" si="1"/>
        <v>-114.43181818181819</v>
      </c>
    </row>
    <row r="77" spans="1:10" s="7" customFormat="1" ht="13.5" customHeight="1" x14ac:dyDescent="0.25">
      <c r="A77" s="20" t="s">
        <v>80</v>
      </c>
      <c r="B77" s="21"/>
      <c r="C77" s="22"/>
      <c r="D77" s="36">
        <v>1</v>
      </c>
      <c r="E77" s="16" t="s">
        <v>65</v>
      </c>
      <c r="F77" s="37">
        <v>190</v>
      </c>
      <c r="G77" s="15">
        <f>D77*F77</f>
        <v>190</v>
      </c>
      <c r="H77" s="14"/>
      <c r="I77" s="14"/>
      <c r="J77"/>
    </row>
    <row r="78" spans="1:10" s="7" customFormat="1" ht="13.5" customHeight="1" x14ac:dyDescent="0.25">
      <c r="A78" s="20" t="s">
        <v>81</v>
      </c>
      <c r="B78" s="21"/>
      <c r="C78" s="22"/>
      <c r="D78" s="36"/>
      <c r="E78" s="16" t="s">
        <v>65</v>
      </c>
      <c r="F78" s="37">
        <v>350</v>
      </c>
      <c r="G78" s="15">
        <f>D78*F78</f>
        <v>0</v>
      </c>
      <c r="H78" s="14"/>
      <c r="I78" s="14"/>
      <c r="J78"/>
    </row>
    <row r="79" spans="1:10" s="7" customFormat="1" ht="13.5" customHeight="1" x14ac:dyDescent="0.25">
      <c r="A79" s="20" t="s">
        <v>82</v>
      </c>
      <c r="B79" s="21"/>
      <c r="C79" s="22"/>
      <c r="D79" s="36">
        <v>1</v>
      </c>
      <c r="E79" s="16" t="s">
        <v>65</v>
      </c>
      <c r="F79" s="37">
        <v>75</v>
      </c>
      <c r="G79" s="15">
        <f>D79*F79</f>
        <v>75</v>
      </c>
      <c r="H79" s="14"/>
      <c r="I79" s="14"/>
      <c r="J79"/>
    </row>
    <row r="80" spans="1:10" ht="13.5" customHeight="1" x14ac:dyDescent="0.25">
      <c r="A80" s="17" t="s">
        <v>38</v>
      </c>
      <c r="B80" s="18"/>
      <c r="C80" s="19"/>
      <c r="D80" s="14"/>
      <c r="E80" s="14"/>
      <c r="F80" s="14"/>
      <c r="G80" s="13">
        <f>SUM(G81:G83)</f>
        <v>-1732.7242424242427</v>
      </c>
      <c r="H80" s="44">
        <f>$K$56</f>
        <v>0.43181818181818182</v>
      </c>
      <c r="I80" s="13">
        <f t="shared" ref="I80" si="2">-G80*H80</f>
        <v>748.22183195592299</v>
      </c>
    </row>
    <row r="81" spans="1:11" s="7" customFormat="1" ht="13.5" customHeight="1" x14ac:dyDescent="0.25">
      <c r="A81" s="20" t="str">
        <f>CONCATENATE("   ",A44)</f>
        <v xml:space="preserve">   Herbe au pâturage</v>
      </c>
      <c r="B81" s="21"/>
      <c r="C81" s="22"/>
      <c r="D81" s="39">
        <f>F44</f>
        <v>110.66666666666669</v>
      </c>
      <c r="E81" s="16" t="s">
        <v>83</v>
      </c>
      <c r="F81" s="37">
        <v>1.1000000000000001</v>
      </c>
      <c r="G81" s="15">
        <f>IFERROR(-D81*F81,"")</f>
        <v>-121.73333333333336</v>
      </c>
      <c r="H81" s="14"/>
      <c r="I81" s="14"/>
      <c r="J81"/>
    </row>
    <row r="82" spans="1:11" s="7" customFormat="1" ht="13.5" customHeight="1" x14ac:dyDescent="0.25">
      <c r="A82" s="20" t="str">
        <f>CONCATENATE("   ",A45)</f>
        <v xml:space="preserve">   Foin</v>
      </c>
      <c r="B82" s="21"/>
      <c r="C82" s="22"/>
      <c r="D82" s="39">
        <f>F45</f>
        <v>17.40909090909091</v>
      </c>
      <c r="E82" s="16" t="s">
        <v>83</v>
      </c>
      <c r="F82" s="37">
        <f>'Simulation A1'!F82</f>
        <v>43</v>
      </c>
      <c r="G82" s="15">
        <f t="shared" ref="G82:G85" si="3">IFERROR(-D82*F82,"")</f>
        <v>-748.59090909090912</v>
      </c>
      <c r="H82" s="14"/>
      <c r="I82" s="14"/>
      <c r="J82"/>
    </row>
    <row r="83" spans="1:11" s="7" customFormat="1" ht="13.5" customHeight="1" x14ac:dyDescent="0.25">
      <c r="A83" s="20" t="str">
        <f>CONCATENATE("   ",A46)</f>
        <v xml:space="preserve">   Ensilage d'herbe</v>
      </c>
      <c r="B83" s="21"/>
      <c r="C83" s="22"/>
      <c r="D83" s="39">
        <f>F46</f>
        <v>77.000000000000014</v>
      </c>
      <c r="E83" s="16" t="s">
        <v>83</v>
      </c>
      <c r="F83" s="37">
        <f>'Simulation A1'!F83</f>
        <v>11.2</v>
      </c>
      <c r="G83" s="15">
        <f t="shared" si="3"/>
        <v>-862.40000000000009</v>
      </c>
      <c r="H83" s="14"/>
      <c r="I83" s="14"/>
      <c r="J83"/>
    </row>
    <row r="84" spans="1:11" s="7" customFormat="1" ht="13.5" customHeight="1" x14ac:dyDescent="0.25">
      <c r="A84" s="20" t="str">
        <f>CONCATENATE("   ",A47)</f>
        <v xml:space="preserve">   Ensilage de maïs</v>
      </c>
      <c r="B84" s="21"/>
      <c r="C84" s="22"/>
      <c r="D84" s="39">
        <f>F47</f>
        <v>36.5</v>
      </c>
      <c r="E84" s="16" t="s">
        <v>83</v>
      </c>
      <c r="F84" s="37">
        <f>'Simulation A1'!F84</f>
        <v>13.5</v>
      </c>
      <c r="G84" s="15">
        <f t="shared" si="3"/>
        <v>-492.75</v>
      </c>
      <c r="H84" s="14"/>
      <c r="I84" s="14"/>
      <c r="J84"/>
    </row>
    <row r="85" spans="1:11" s="7" customFormat="1" ht="13.5" customHeight="1" x14ac:dyDescent="0.25">
      <c r="A85" s="20" t="str">
        <f>CONCATENATE("   ",A48)</f>
        <v xml:space="preserve">   Autre fourrage de base</v>
      </c>
      <c r="B85" s="21"/>
      <c r="C85" s="22"/>
      <c r="D85" s="39" t="str">
        <f>F48</f>
        <v/>
      </c>
      <c r="E85" s="16" t="s">
        <v>83</v>
      </c>
      <c r="F85" s="37"/>
      <c r="G85" s="15" t="str">
        <f t="shared" si="3"/>
        <v/>
      </c>
      <c r="H85" s="14"/>
      <c r="I85" s="14"/>
      <c r="J85"/>
    </row>
    <row r="86" spans="1:11" ht="13.5" customHeight="1" x14ac:dyDescent="0.25">
      <c r="A86" s="17" t="s">
        <v>84</v>
      </c>
      <c r="B86" s="18"/>
      <c r="C86" s="19"/>
      <c r="D86" s="40">
        <f>2*365/100</f>
        <v>7.3</v>
      </c>
      <c r="E86" s="8" t="s">
        <v>83</v>
      </c>
      <c r="F86" s="41">
        <f>'Simulation A1'!F86</f>
        <v>23</v>
      </c>
      <c r="G86" s="13">
        <f>-D86*F86</f>
        <v>-167.9</v>
      </c>
      <c r="H86" s="44">
        <f>$K$56</f>
        <v>0.43181818181818182</v>
      </c>
      <c r="I86" s="13">
        <f t="shared" ref="I86" si="4">-G86*H86</f>
        <v>72.502272727272725</v>
      </c>
    </row>
    <row r="87" spans="1:11" ht="13.5" customHeight="1" x14ac:dyDescent="0.25">
      <c r="A87" s="1" t="s">
        <v>47</v>
      </c>
      <c r="B87" s="1"/>
      <c r="C87" s="1"/>
      <c r="D87" s="1"/>
      <c r="E87" s="1"/>
      <c r="F87" s="1"/>
      <c r="G87" s="11">
        <f>SUM(G62:G66,G72:G76,G80,G86)</f>
        <v>4148.3043290043279</v>
      </c>
      <c r="I87" s="11">
        <f>SUM(I62:I86)</f>
        <v>-1156.3263570408944</v>
      </c>
      <c r="J87" s="11"/>
    </row>
    <row r="88" spans="1:11" ht="4.9000000000000004" customHeight="1" x14ac:dyDescent="0.25"/>
    <row r="89" spans="1:11" ht="15.75" thickBot="1" x14ac:dyDescent="0.3">
      <c r="A89" s="104" t="s">
        <v>21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</row>
    <row r="90" spans="1:11" ht="13.5" customHeight="1" thickBot="1" x14ac:dyDescent="0.3">
      <c r="A90" t="s">
        <v>22</v>
      </c>
      <c r="D90" s="2"/>
      <c r="E90" s="79">
        <f>I57*K55*D62</f>
        <v>4961.3881980544147</v>
      </c>
    </row>
    <row r="91" spans="1:11" ht="4.9000000000000004" customHeight="1" x14ac:dyDescent="0.25"/>
    <row r="92" spans="1:11" x14ac:dyDescent="0.25">
      <c r="A92" s="104" t="s">
        <v>85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</row>
    <row r="93" spans="1:11" ht="4.9000000000000004" customHeight="1" x14ac:dyDescent="0.25"/>
    <row r="94" spans="1:11" ht="30" customHeight="1" x14ac:dyDescent="0.25">
      <c r="A94" s="109" t="s">
        <v>24</v>
      </c>
      <c r="B94" s="110"/>
      <c r="C94" s="88" t="s">
        <v>25</v>
      </c>
      <c r="D94" s="88" t="s">
        <v>26</v>
      </c>
      <c r="E94" s="88" t="s">
        <v>27</v>
      </c>
      <c r="F94" s="88" t="s">
        <v>28</v>
      </c>
      <c r="G94" s="124" t="s">
        <v>29</v>
      </c>
      <c r="H94" s="124"/>
      <c r="I94" s="120" t="s">
        <v>30</v>
      </c>
      <c r="J94" s="121"/>
    </row>
    <row r="95" spans="1:11" ht="13.5" customHeight="1" x14ac:dyDescent="0.25">
      <c r="A95" s="107" t="s">
        <v>86</v>
      </c>
      <c r="B95" s="108"/>
      <c r="C95" s="89">
        <f>-I57</f>
        <v>-2</v>
      </c>
      <c r="D95" s="86" t="s">
        <v>87</v>
      </c>
      <c r="E95" s="13">
        <f>I87</f>
        <v>-1156.3263570408944</v>
      </c>
      <c r="F95" s="4">
        <f>-C95*E95</f>
        <v>-2312.6527140817889</v>
      </c>
      <c r="G95" s="122">
        <f>F95/$G$10</f>
        <v>-2.0207381598017639E-2</v>
      </c>
      <c r="H95" s="122"/>
      <c r="I95" s="122">
        <f>IFERROR(F95/E90,0)</f>
        <v>-0.4661301679615969</v>
      </c>
      <c r="J95" s="122"/>
    </row>
    <row r="96" spans="1:11" ht="4.9000000000000004" customHeight="1" thickBot="1" x14ac:dyDescent="0.3">
      <c r="F96" s="5"/>
      <c r="G96" s="90"/>
      <c r="H96" s="80"/>
      <c r="I96" s="5"/>
    </row>
    <row r="97" spans="1:11" ht="13.5" customHeight="1" thickTop="1" thickBot="1" x14ac:dyDescent="0.3">
      <c r="A97" s="1" t="s">
        <v>35</v>
      </c>
      <c r="B97" s="1"/>
      <c r="F97" s="6">
        <f>SUM(F95:F95)</f>
        <v>-2312.6527140817889</v>
      </c>
      <c r="G97" s="111">
        <f>SUM(G95:G95)</f>
        <v>-2.0207381598017639E-2</v>
      </c>
      <c r="H97" s="112"/>
      <c r="I97" s="111">
        <f>SUM(I94:I95)</f>
        <v>-0.4661301679615969</v>
      </c>
      <c r="J97" s="112"/>
    </row>
    <row r="98" spans="1:11" ht="4.9000000000000004" customHeight="1" thickTop="1" x14ac:dyDescent="0.25"/>
    <row r="99" spans="1:11" ht="4.9000000000000004" customHeight="1" x14ac:dyDescent="0.25"/>
    <row r="100" spans="1:11" x14ac:dyDescent="0.25">
      <c r="A100" s="105" t="s">
        <v>88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</row>
    <row r="101" spans="1:11" ht="4.9000000000000004" customHeight="1" x14ac:dyDescent="0.25"/>
    <row r="102" spans="1:11" x14ac:dyDescent="0.25">
      <c r="A102" s="104" t="s">
        <v>12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</row>
    <row r="103" spans="1:11" ht="4.9000000000000004" customHeight="1" x14ac:dyDescent="0.25"/>
    <row r="104" spans="1:11" x14ac:dyDescent="0.25">
      <c r="A104" s="23" t="s">
        <v>89</v>
      </c>
      <c r="B104" s="24"/>
      <c r="C104" s="24"/>
      <c r="D104" s="24"/>
      <c r="E104" s="24"/>
      <c r="F104" s="24"/>
      <c r="G104" s="24"/>
      <c r="H104" s="24"/>
      <c r="I104" s="24"/>
    </row>
    <row r="105" spans="1:11" ht="13.5" customHeight="1" x14ac:dyDescent="0.25">
      <c r="A105" t="s">
        <v>90</v>
      </c>
      <c r="D105" s="31">
        <v>126</v>
      </c>
    </row>
    <row r="106" spans="1:11" ht="13.5" customHeight="1" x14ac:dyDescent="0.25">
      <c r="A106" t="s">
        <v>91</v>
      </c>
      <c r="D106" s="33">
        <f>'Simulation A1'!D106</f>
        <v>16.3</v>
      </c>
    </row>
    <row r="107" spans="1:11" ht="13.5" customHeight="1" x14ac:dyDescent="0.25">
      <c r="A107" t="s">
        <v>92</v>
      </c>
      <c r="D107" s="31">
        <v>74</v>
      </c>
    </row>
    <row r="108" spans="1:11" ht="13.5" customHeight="1" x14ac:dyDescent="0.25">
      <c r="A108" t="s">
        <v>93</v>
      </c>
      <c r="D108" s="33">
        <f>'Simulation A1'!D108</f>
        <v>8.5</v>
      </c>
    </row>
    <row r="109" spans="1:11" ht="13.5" customHeight="1" x14ac:dyDescent="0.25">
      <c r="A109" t="s">
        <v>94</v>
      </c>
      <c r="D109" s="42">
        <v>3.5000000000000003E-2</v>
      </c>
    </row>
    <row r="110" spans="1:11" ht="4.9000000000000004" customHeight="1" x14ac:dyDescent="0.25">
      <c r="A110" s="23"/>
      <c r="B110" s="24"/>
      <c r="C110" s="24"/>
      <c r="D110" s="24"/>
      <c r="E110" s="24"/>
      <c r="F110" s="24"/>
      <c r="G110" s="24"/>
      <c r="H110" s="24"/>
      <c r="I110" s="24"/>
    </row>
    <row r="111" spans="1:11" x14ac:dyDescent="0.25">
      <c r="A111" s="23" t="s">
        <v>95</v>
      </c>
      <c r="B111" s="24"/>
      <c r="C111" s="24"/>
      <c r="D111" s="24"/>
      <c r="E111" s="24"/>
      <c r="F111" s="24"/>
      <c r="G111" s="24"/>
      <c r="H111" s="24"/>
      <c r="I111" s="24"/>
    </row>
    <row r="112" spans="1:11" ht="4.9000000000000004" customHeight="1" x14ac:dyDescent="0.25"/>
    <row r="113" spans="1:11" ht="13.5" customHeight="1" x14ac:dyDescent="0.25">
      <c r="A113" s="119"/>
      <c r="B113" s="119"/>
      <c r="C113" s="119"/>
      <c r="D113" s="10" t="s">
        <v>25</v>
      </c>
      <c r="E113" s="9" t="s">
        <v>26</v>
      </c>
      <c r="F113" s="10" t="s">
        <v>58</v>
      </c>
      <c r="G113" s="135" t="s">
        <v>96</v>
      </c>
      <c r="H113" s="136"/>
    </row>
    <row r="114" spans="1:11" ht="13.5" customHeight="1" x14ac:dyDescent="0.25">
      <c r="A114" s="17" t="s">
        <v>97</v>
      </c>
      <c r="B114" s="18"/>
      <c r="C114" s="19"/>
      <c r="D114" s="25">
        <f>D105*(1-D109)</f>
        <v>121.58999999999999</v>
      </c>
      <c r="E114" s="8" t="s">
        <v>98</v>
      </c>
      <c r="F114" s="12">
        <f>D106</f>
        <v>16.3</v>
      </c>
      <c r="G114" s="113">
        <f>D114*F114</f>
        <v>1981.9169999999999</v>
      </c>
      <c r="H114" s="114"/>
    </row>
    <row r="115" spans="1:11" ht="13.5" customHeight="1" x14ac:dyDescent="0.25">
      <c r="A115" s="17" t="s">
        <v>99</v>
      </c>
      <c r="B115" s="18"/>
      <c r="C115" s="19"/>
      <c r="D115" s="26">
        <f>D107</f>
        <v>74</v>
      </c>
      <c r="E115" s="8" t="s">
        <v>100</v>
      </c>
      <c r="F115" s="12">
        <f>D108</f>
        <v>8.5</v>
      </c>
      <c r="G115" s="113">
        <f>-D115*F115</f>
        <v>-629</v>
      </c>
      <c r="H115" s="114"/>
    </row>
    <row r="116" spans="1:11" ht="13.5" customHeight="1" x14ac:dyDescent="0.25">
      <c r="A116" s="17" t="s">
        <v>101</v>
      </c>
      <c r="B116" s="18"/>
      <c r="C116" s="19"/>
      <c r="D116" s="14"/>
      <c r="E116" s="14"/>
      <c r="F116" s="14"/>
      <c r="G116" s="113">
        <f>SUM(G117:G120)</f>
        <v>-1547.15</v>
      </c>
      <c r="H116" s="114"/>
    </row>
    <row r="117" spans="1:11" s="7" customFormat="1" ht="13.5" customHeight="1" x14ac:dyDescent="0.25">
      <c r="A117" s="20" t="s">
        <v>102</v>
      </c>
      <c r="B117" s="21"/>
      <c r="C117" s="22"/>
      <c r="D117" s="36">
        <v>1350</v>
      </c>
      <c r="E117" s="8" t="s">
        <v>63</v>
      </c>
      <c r="F117" s="29">
        <f>K7</f>
        <v>0.88900000000000001</v>
      </c>
      <c r="G117" s="113">
        <f>-D117*F117</f>
        <v>-1200.1500000000001</v>
      </c>
      <c r="H117" s="114"/>
    </row>
    <row r="118" spans="1:11" s="7" customFormat="1" ht="13.5" customHeight="1" x14ac:dyDescent="0.25">
      <c r="A118" s="20" t="s">
        <v>103</v>
      </c>
      <c r="B118" s="21"/>
      <c r="C118" s="22"/>
      <c r="D118" s="36">
        <f>'Simulation A1'!D118</f>
        <v>110</v>
      </c>
      <c r="E118" s="8" t="s">
        <v>63</v>
      </c>
      <c r="F118" s="37">
        <f>'Simulation A1'!F118</f>
        <v>3.1</v>
      </c>
      <c r="G118" s="113">
        <f>-D118*F118</f>
        <v>-341</v>
      </c>
      <c r="H118" s="114"/>
    </row>
    <row r="119" spans="1:11" s="7" customFormat="1" ht="13.5" customHeight="1" x14ac:dyDescent="0.25">
      <c r="A119" s="20" t="s">
        <v>73</v>
      </c>
      <c r="B119" s="21"/>
      <c r="C119" s="22"/>
      <c r="D119" s="36">
        <v>2</v>
      </c>
      <c r="E119" s="8" t="s">
        <v>63</v>
      </c>
      <c r="F119" s="37">
        <f>'Simulation A1'!F119</f>
        <v>2.5</v>
      </c>
      <c r="G119" s="113">
        <f>-D119*F119</f>
        <v>-5</v>
      </c>
      <c r="H119" s="114"/>
    </row>
    <row r="120" spans="1:11" s="7" customFormat="1" ht="13.5" customHeight="1" x14ac:dyDescent="0.25">
      <c r="A120" s="20" t="s">
        <v>74</v>
      </c>
      <c r="B120" s="21"/>
      <c r="C120" s="22"/>
      <c r="D120" s="36">
        <v>2</v>
      </c>
      <c r="E120" s="8" t="s">
        <v>63</v>
      </c>
      <c r="F120" s="37">
        <v>0.5</v>
      </c>
      <c r="G120" s="113">
        <f>-D120*F120</f>
        <v>-1</v>
      </c>
      <c r="H120" s="114"/>
    </row>
    <row r="121" spans="1:11" ht="13.5" customHeight="1" x14ac:dyDescent="0.25">
      <c r="A121" s="17" t="s">
        <v>75</v>
      </c>
      <c r="B121" s="18"/>
      <c r="C121" s="19"/>
      <c r="D121" s="14"/>
      <c r="E121" s="14"/>
      <c r="F121" s="14"/>
      <c r="G121" s="125">
        <v>-60</v>
      </c>
      <c r="H121" s="126"/>
    </row>
    <row r="122" spans="1:11" ht="13.5" customHeight="1" x14ac:dyDescent="0.25">
      <c r="A122" s="17" t="s">
        <v>77</v>
      </c>
      <c r="B122" s="18"/>
      <c r="C122" s="19"/>
      <c r="D122" s="14"/>
      <c r="E122" s="14"/>
      <c r="F122" s="14"/>
      <c r="G122" s="125">
        <v>-49</v>
      </c>
      <c r="H122" s="126"/>
    </row>
    <row r="123" spans="1:11" ht="13.5" customHeight="1" x14ac:dyDescent="0.25">
      <c r="A123" s="17" t="s">
        <v>78</v>
      </c>
      <c r="B123" s="18"/>
      <c r="C123" s="19"/>
      <c r="D123" s="14"/>
      <c r="E123" s="14"/>
      <c r="F123" s="14"/>
      <c r="G123" s="125"/>
      <c r="H123" s="126"/>
    </row>
    <row r="124" spans="1:11" ht="13.5" customHeight="1" x14ac:dyDescent="0.25">
      <c r="A124" s="17" t="s">
        <v>43</v>
      </c>
      <c r="B124" s="18"/>
      <c r="C124" s="19"/>
      <c r="D124" s="40">
        <f>0.4/0.88</f>
        <v>0.45454545454545459</v>
      </c>
      <c r="E124" s="8" t="s">
        <v>83</v>
      </c>
      <c r="F124" s="41">
        <f>'Simulation A1'!F124</f>
        <v>43</v>
      </c>
      <c r="G124" s="113">
        <f>-D124*F124</f>
        <v>-19.545454545454547</v>
      </c>
      <c r="H124" s="114"/>
    </row>
    <row r="125" spans="1:11" ht="13.5" customHeight="1" x14ac:dyDescent="0.25">
      <c r="A125" s="17" t="s">
        <v>84</v>
      </c>
      <c r="B125" s="18"/>
      <c r="C125" s="19"/>
      <c r="D125" s="40">
        <v>2</v>
      </c>
      <c r="E125" s="8" t="s">
        <v>83</v>
      </c>
      <c r="F125" s="41">
        <f>'Simulation A1'!F125</f>
        <v>23</v>
      </c>
      <c r="G125" s="113">
        <f>-D125*F125</f>
        <v>-46</v>
      </c>
      <c r="H125" s="114"/>
    </row>
    <row r="126" spans="1:11" x14ac:dyDescent="0.25">
      <c r="A126" s="1" t="s">
        <v>47</v>
      </c>
      <c r="B126" s="1"/>
      <c r="C126" s="1"/>
      <c r="D126" s="1"/>
      <c r="E126" s="1"/>
      <c r="F126" s="1"/>
      <c r="G126" s="123">
        <f>SUM(G114:G116,G121:G123,G124,G125)</f>
        <v>-368.77845454545474</v>
      </c>
      <c r="H126" s="123"/>
    </row>
    <row r="127" spans="1:11" ht="4.9000000000000004" customHeight="1" x14ac:dyDescent="0.25"/>
    <row r="128" spans="1:11" x14ac:dyDescent="0.25">
      <c r="A128" s="104" t="s">
        <v>21</v>
      </c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</row>
    <row r="129" spans="1:11" ht="13.5" customHeight="1" thickBot="1" x14ac:dyDescent="0.3">
      <c r="A129" t="s">
        <v>104</v>
      </c>
      <c r="E129" s="84">
        <v>4</v>
      </c>
      <c r="F129" s="85" t="s">
        <v>16</v>
      </c>
    </row>
    <row r="130" spans="1:11" ht="13.5" customHeight="1" thickBot="1" x14ac:dyDescent="0.3">
      <c r="A130" t="s">
        <v>22</v>
      </c>
      <c r="D130" s="2"/>
      <c r="E130" s="79">
        <f>E129*D117</f>
        <v>5400</v>
      </c>
    </row>
    <row r="131" spans="1:11" ht="4.9000000000000004" customHeight="1" x14ac:dyDescent="0.25"/>
    <row r="132" spans="1:11" x14ac:dyDescent="0.25">
      <c r="A132" s="104" t="s">
        <v>85</v>
      </c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</row>
    <row r="133" spans="1:11" ht="4.9000000000000004" customHeight="1" x14ac:dyDescent="0.25"/>
    <row r="134" spans="1:11" ht="30" customHeight="1" x14ac:dyDescent="0.25">
      <c r="A134" s="109" t="s">
        <v>24</v>
      </c>
      <c r="B134" s="110"/>
      <c r="C134" s="88" t="s">
        <v>25</v>
      </c>
      <c r="D134" s="88" t="s">
        <v>26</v>
      </c>
      <c r="E134" s="88" t="s">
        <v>27</v>
      </c>
      <c r="F134" s="88" t="s">
        <v>28</v>
      </c>
      <c r="G134" s="124" t="s">
        <v>29</v>
      </c>
      <c r="H134" s="124"/>
      <c r="I134" s="120" t="s">
        <v>30</v>
      </c>
      <c r="J134" s="121"/>
    </row>
    <row r="135" spans="1:11" ht="13.5" customHeight="1" x14ac:dyDescent="0.25">
      <c r="A135" s="107" t="s">
        <v>105</v>
      </c>
      <c r="B135" s="108"/>
      <c r="C135" s="89">
        <f>E129</f>
        <v>4</v>
      </c>
      <c r="D135" s="86" t="s">
        <v>106</v>
      </c>
      <c r="E135" s="13">
        <f>G126</f>
        <v>-368.77845454545474</v>
      </c>
      <c r="F135" s="4">
        <f>C135*E135</f>
        <v>-1475.1138181818189</v>
      </c>
      <c r="G135" s="122">
        <f>F135/$G$10</f>
        <v>-1.2889175985225178E-2</v>
      </c>
      <c r="H135" s="122"/>
      <c r="I135" s="122">
        <f>IFERROR(F135/E130,0)</f>
        <v>-0.27316922558922574</v>
      </c>
      <c r="J135" s="122"/>
    </row>
    <row r="136" spans="1:11" ht="4.9000000000000004" customHeight="1" thickBot="1" x14ac:dyDescent="0.3">
      <c r="F136" s="5"/>
      <c r="G136" s="90"/>
      <c r="H136" s="80"/>
      <c r="I136" s="5"/>
    </row>
    <row r="137" spans="1:11" ht="13.5" customHeight="1" thickTop="1" thickBot="1" x14ac:dyDescent="0.3">
      <c r="A137" s="1" t="s">
        <v>35</v>
      </c>
      <c r="B137" s="1"/>
      <c r="F137" s="6">
        <f>SUM(F135:F135)</f>
        <v>-1475.1138181818189</v>
      </c>
      <c r="G137" s="111">
        <f>SUM(G135:G135)</f>
        <v>-1.2889175985225178E-2</v>
      </c>
      <c r="H137" s="112"/>
      <c r="I137" s="111">
        <f>SUM(I134:I135)</f>
        <v>-0.27316922558922574</v>
      </c>
      <c r="J137" s="112"/>
    </row>
    <row r="138" spans="1:11" ht="4.9000000000000004" customHeight="1" thickTop="1" x14ac:dyDescent="0.25"/>
    <row r="139" spans="1:11" x14ac:dyDescent="0.25">
      <c r="A139" s="105" t="s">
        <v>107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</row>
    <row r="140" spans="1:11" ht="4.9000000000000004" customHeight="1" x14ac:dyDescent="0.25"/>
    <row r="141" spans="1:11" ht="30" customHeight="1" x14ac:dyDescent="0.25">
      <c r="A141" s="109" t="s">
        <v>24</v>
      </c>
      <c r="B141" s="110"/>
      <c r="C141" s="88" t="s">
        <v>25</v>
      </c>
      <c r="D141" s="88" t="s">
        <v>26</v>
      </c>
      <c r="E141" s="88" t="s">
        <v>27</v>
      </c>
      <c r="F141" s="88" t="s">
        <v>28</v>
      </c>
      <c r="G141" s="124" t="s">
        <v>29</v>
      </c>
      <c r="H141" s="124"/>
    </row>
    <row r="142" spans="1:11" ht="13.5" customHeight="1" x14ac:dyDescent="0.25">
      <c r="A142" s="107" t="s">
        <v>108</v>
      </c>
      <c r="B142" s="108"/>
      <c r="C142" s="13">
        <f>G10</f>
        <v>114445.93664270992</v>
      </c>
      <c r="D142" s="86" t="s">
        <v>34</v>
      </c>
      <c r="E142" s="87">
        <f>K12</f>
        <v>0.04</v>
      </c>
      <c r="F142" s="4">
        <f>C142*E142</f>
        <v>4577.8374657083968</v>
      </c>
      <c r="G142" s="122">
        <f>F142/$G$10</f>
        <v>0.04</v>
      </c>
      <c r="H142" s="122"/>
    </row>
    <row r="143" spans="1:11" x14ac:dyDescent="0.25"/>
    <row r="144" spans="1:11" x14ac:dyDescent="0.25">
      <c r="A144" s="105" t="s">
        <v>109</v>
      </c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</row>
    <row r="145" spans="1:11" ht="4.5" customHeight="1" x14ac:dyDescent="0.25">
      <c r="I145" s="78">
        <f>F34</f>
        <v>0</v>
      </c>
    </row>
    <row r="146" spans="1:11" s="98" customFormat="1" ht="30" customHeight="1" x14ac:dyDescent="0.25">
      <c r="A146" s="95" t="s">
        <v>110</v>
      </c>
      <c r="B146" s="96"/>
      <c r="C146" s="96"/>
      <c r="D146" s="96"/>
      <c r="E146" s="96"/>
      <c r="F146" s="96"/>
      <c r="G146" s="97" t="s">
        <v>28</v>
      </c>
      <c r="H146" s="120" t="s">
        <v>111</v>
      </c>
      <c r="I146" s="121"/>
      <c r="J146" s="120" t="s">
        <v>30</v>
      </c>
      <c r="K146" s="121"/>
    </row>
    <row r="147" spans="1:11" s="94" customFormat="1" ht="30" customHeight="1" x14ac:dyDescent="0.25">
      <c r="A147" s="137" t="s">
        <v>112</v>
      </c>
      <c r="B147" s="138"/>
      <c r="C147" s="138"/>
      <c r="D147" s="138"/>
      <c r="E147" s="138"/>
      <c r="F147" s="138"/>
      <c r="G147" s="93">
        <f>F35</f>
        <v>-4237.6929936305733</v>
      </c>
      <c r="H147" s="133">
        <f>G147/$G$10</f>
        <v>-3.7027902588278656E-2</v>
      </c>
      <c r="I147" s="134"/>
      <c r="J147" s="133">
        <f>I35</f>
        <v>-0.27004273972602744</v>
      </c>
      <c r="K147" s="134"/>
    </row>
    <row r="148" spans="1:11" x14ac:dyDescent="0.25">
      <c r="A148" s="17" t="s">
        <v>113</v>
      </c>
      <c r="B148" s="18"/>
      <c r="C148" s="18"/>
      <c r="D148" s="18"/>
      <c r="E148" s="18"/>
      <c r="F148" s="18"/>
      <c r="G148" s="13">
        <f>F97</f>
        <v>-2312.6527140817889</v>
      </c>
      <c r="H148" s="133">
        <f t="shared" ref="H148:H151" si="5">G148/$G$10</f>
        <v>-2.0207381598017639E-2</v>
      </c>
      <c r="I148" s="134"/>
      <c r="J148" s="133">
        <f>I97</f>
        <v>-0.4661301679615969</v>
      </c>
      <c r="K148" s="134"/>
    </row>
    <row r="149" spans="1:11" x14ac:dyDescent="0.25">
      <c r="A149" s="17" t="s">
        <v>114</v>
      </c>
      <c r="B149" s="18"/>
      <c r="C149" s="18"/>
      <c r="D149" s="18"/>
      <c r="E149" s="18"/>
      <c r="F149" s="18"/>
      <c r="G149" s="13">
        <f>F137</f>
        <v>-1475.1138181818189</v>
      </c>
      <c r="H149" s="133">
        <f t="shared" si="5"/>
        <v>-1.2889175985225178E-2</v>
      </c>
      <c r="I149" s="134"/>
      <c r="J149" s="133">
        <f>I137</f>
        <v>-0.27316922558922574</v>
      </c>
      <c r="K149" s="134"/>
    </row>
    <row r="150" spans="1:11" ht="15.75" thickBot="1" x14ac:dyDescent="0.3">
      <c r="A150" s="17" t="s">
        <v>115</v>
      </c>
      <c r="B150" s="18"/>
      <c r="C150" s="18"/>
      <c r="D150" s="18"/>
      <c r="E150" s="18"/>
      <c r="F150" s="18"/>
      <c r="G150" s="92">
        <f>F142</f>
        <v>4577.8374657083968</v>
      </c>
      <c r="H150" s="144">
        <f t="shared" si="5"/>
        <v>0.04</v>
      </c>
      <c r="I150" s="145"/>
    </row>
    <row r="151" spans="1:11" ht="16.5" thickTop="1" thickBot="1" x14ac:dyDescent="0.3">
      <c r="A151" s="1" t="s">
        <v>116</v>
      </c>
      <c r="B151" s="1"/>
      <c r="C151" s="1"/>
      <c r="D151" s="1"/>
      <c r="E151" s="1"/>
      <c r="F151" s="1"/>
      <c r="G151" s="81">
        <f>SUM(G147:G150)</f>
        <v>-3447.622060185784</v>
      </c>
      <c r="H151" s="142">
        <f t="shared" si="5"/>
        <v>-3.0124460171521466E-2</v>
      </c>
      <c r="I151" s="143"/>
    </row>
    <row r="152" spans="1:11" ht="6" customHeight="1" thickTop="1" x14ac:dyDescent="0.25"/>
    <row r="153" spans="1:11" ht="15" customHeight="1" x14ac:dyDescent="0.25"/>
  </sheetData>
  <sheetProtection sheet="1" objects="1" scenarios="1"/>
  <mergeCells count="92">
    <mergeCell ref="H151:I151"/>
    <mergeCell ref="A144:K144"/>
    <mergeCell ref="H146:I146"/>
    <mergeCell ref="J146:K146"/>
    <mergeCell ref="A147:F147"/>
    <mergeCell ref="H147:I147"/>
    <mergeCell ref="J147:K147"/>
    <mergeCell ref="H148:I148"/>
    <mergeCell ref="J148:K148"/>
    <mergeCell ref="H149:I149"/>
    <mergeCell ref="J149:K149"/>
    <mergeCell ref="H150:I150"/>
    <mergeCell ref="A142:B142"/>
    <mergeCell ref="G142:H142"/>
    <mergeCell ref="A134:B134"/>
    <mergeCell ref="G134:H134"/>
    <mergeCell ref="I134:J134"/>
    <mergeCell ref="A135:B135"/>
    <mergeCell ref="G135:H135"/>
    <mergeCell ref="I135:J135"/>
    <mergeCell ref="G137:H137"/>
    <mergeCell ref="I137:J137"/>
    <mergeCell ref="A139:K139"/>
    <mergeCell ref="A141:B141"/>
    <mergeCell ref="G141:H141"/>
    <mergeCell ref="A132:K132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A128:K128"/>
    <mergeCell ref="G116:H116"/>
    <mergeCell ref="A95:B95"/>
    <mergeCell ref="G95:H95"/>
    <mergeCell ref="I95:J95"/>
    <mergeCell ref="G97:H97"/>
    <mergeCell ref="I97:J97"/>
    <mergeCell ref="A100:K100"/>
    <mergeCell ref="A102:K102"/>
    <mergeCell ref="A113:C113"/>
    <mergeCell ref="G113:H113"/>
    <mergeCell ref="G114:H114"/>
    <mergeCell ref="G115:H115"/>
    <mergeCell ref="A61:C61"/>
    <mergeCell ref="A89:K89"/>
    <mergeCell ref="A92:K92"/>
    <mergeCell ref="A94:B94"/>
    <mergeCell ref="G94:H94"/>
    <mergeCell ref="I94:J94"/>
    <mergeCell ref="C49:D49"/>
    <mergeCell ref="F49:G49"/>
    <mergeCell ref="C44:D44"/>
    <mergeCell ref="F44:G44"/>
    <mergeCell ref="A45:B45"/>
    <mergeCell ref="C45:D45"/>
    <mergeCell ref="F45:G45"/>
    <mergeCell ref="C46:D46"/>
    <mergeCell ref="F46:G46"/>
    <mergeCell ref="C47:D47"/>
    <mergeCell ref="F47:G47"/>
    <mergeCell ref="A48:B48"/>
    <mergeCell ref="C48:D48"/>
    <mergeCell ref="F48:G48"/>
    <mergeCell ref="G35:H35"/>
    <mergeCell ref="I35:J35"/>
    <mergeCell ref="A37:K37"/>
    <mergeCell ref="A39:K39"/>
    <mergeCell ref="C43:D43"/>
    <mergeCell ref="F43:G43"/>
    <mergeCell ref="A32:B32"/>
    <mergeCell ref="G32:H32"/>
    <mergeCell ref="I32:J32"/>
    <mergeCell ref="A33:B33"/>
    <mergeCell ref="G33:H33"/>
    <mergeCell ref="I33:J33"/>
    <mergeCell ref="A26:K26"/>
    <mergeCell ref="A29:K29"/>
    <mergeCell ref="A31:B31"/>
    <mergeCell ref="G31:H31"/>
    <mergeCell ref="I31:J31"/>
    <mergeCell ref="A17:K17"/>
    <mergeCell ref="A1:B1"/>
    <mergeCell ref="C1:K1"/>
    <mergeCell ref="A3:K3"/>
    <mergeCell ref="D5:E5"/>
    <mergeCell ref="A15:K15"/>
  </mergeCells>
  <conditionalFormatting sqref="A6:E6">
    <cfRule type="expression" dxfId="5" priority="1">
      <formula>$D$5="Modèle de planification"</formula>
    </cfRule>
  </conditionalFormatting>
  <conditionalFormatting sqref="E6">
    <cfRule type="expression" dxfId="4" priority="2">
      <formula>$D$5="Modèle de planification"</formula>
    </cfRule>
  </conditionalFormatting>
  <dataValidations count="7">
    <dataValidation type="whole" allowBlank="1" showInputMessage="1" showErrorMessage="1" prompt="C'est une charge. Saisir une valeur négative." sqref="G72:G76 G121:G123" xr:uid="{787CBB90-29F0-4A20-99A3-EC6879E2DCAC}">
      <formula1>-1000</formula1>
      <formula2>0</formula2>
    </dataValidation>
    <dataValidation allowBlank="1" showInputMessage="1" showErrorMessage="1" prompt="Base de calcul : valeur d'une coupe d'herbe de 15 dt = Fr. 110.- à 15% de M.S." sqref="F81" xr:uid="{A5C79442-BFE6-4870-9506-099EC68D4B90}"/>
    <dataValidation type="whole" allowBlank="1" showInputMessage="1" showErrorMessage="1" prompt="C'est une charge. Saisir une valeur négative." sqref="G80" xr:uid="{BD1F4977-E584-449C-8413-74FD5943C1B1}">
      <formula1>-2000</formula1>
      <formula2>0</formula2>
    </dataValidation>
    <dataValidation allowBlank="1" showInputMessage="1" showErrorMessage="1" prompt="Saisir ici le nombre de semaine de lactation moyen des vaches qui seront réformées prématurément pour diminuer le troupeau de vaches laitières" sqref="D57" xr:uid="{A6074A10-CFE3-45F2-ACF3-8563A96BE17C}"/>
    <dataValidation type="whole" allowBlank="1" showInputMessage="1" showErrorMessage="1" prompt="Saisir ici le nombre de semaine de lactation moyen (entre 3 et 44) des vaches qui seront réformées prématurément pour diminuer le troupeau de vaches laitières" sqref="D56" xr:uid="{27422595-78A7-4ACA-A664-7BDA4FD6750F}">
      <formula1>3</formula1>
      <formula2>44</formula2>
    </dataValidation>
    <dataValidation type="list" allowBlank="1" showInputMessage="1" showErrorMessage="1" sqref="D5:E5" xr:uid="{206FACC3-A1E1-488E-86CF-1845545B528C}">
      <formula1>"Modèle de base,Modèle de planification"</formula1>
    </dataValidation>
    <dataValidation allowBlank="1" showInputMessage="1" showErrorMessage="1" prompt="Si option non retenue, mettre 0" sqref="F20 I57 E129" xr:uid="{4F78FF1D-1D67-4315-A254-078975C85380}"/>
  </dataValidations>
  <pageMargins left="0.23622047244094491" right="0.23622047244094491" top="0.27559055118110237" bottom="0.27559055118110237" header="0.19685039370078741" footer="7.874015748031496E-2"/>
  <pageSetup paperSize="9" orientation="landscape" cellComments="asDisplayed" r:id="rId1"/>
  <headerFooter>
    <oddFooter>&amp;LFRI&amp;R&amp;D</oddFooter>
  </headerFooter>
  <rowBreaks count="3" manualBreakCount="3">
    <brk id="36" max="16383" man="1"/>
    <brk id="99" max="16383" man="1"/>
    <brk id="1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350C-673C-4EF8-A4F5-E3ACC5808435}">
  <dimension ref="A1:M6"/>
  <sheetViews>
    <sheetView zoomScale="115" zoomScaleNormal="115" workbookViewId="0">
      <selection activeCell="A3" sqref="A3:M6"/>
    </sheetView>
  </sheetViews>
  <sheetFormatPr baseColWidth="10" defaultColWidth="11.5703125" defaultRowHeight="13.5" x14ac:dyDescent="0.25"/>
  <cols>
    <col min="1" max="1" width="12.7109375" style="51" customWidth="1"/>
    <col min="2" max="13" width="6.140625" style="52" customWidth="1"/>
    <col min="14" max="16384" width="11.5703125" style="52"/>
  </cols>
  <sheetData>
    <row r="1" spans="1:13" ht="15.75" x14ac:dyDescent="0.25">
      <c r="A1" s="54" t="s">
        <v>123</v>
      </c>
    </row>
    <row r="2" spans="1:13" ht="14.25" thickBot="1" x14ac:dyDescent="0.3"/>
    <row r="3" spans="1:13" ht="49.5" customHeight="1" x14ac:dyDescent="0.25">
      <c r="A3" s="55" t="s">
        <v>124</v>
      </c>
      <c r="B3" s="146" t="str">
        <f>'Simulation A1'!C1</f>
        <v>A1 Modèle de planification avec réduction volontaire de 7.6%</v>
      </c>
      <c r="C3" s="147"/>
      <c r="D3" s="148"/>
      <c r="E3" s="146" t="str">
        <f>'Simulation A2'!C1</f>
        <v>A2 Modèle de planification avec surlivraisons de 14%</v>
      </c>
      <c r="F3" s="147"/>
      <c r="G3" s="148"/>
      <c r="H3" s="146" t="str">
        <f>'Simulation B1'!C1</f>
        <v>B1 Modèle de base avec diminution volontaire de 5% dont 5% par rapport à 2025</v>
      </c>
      <c r="I3" s="147"/>
      <c r="J3" s="148"/>
      <c r="K3" s="146" t="str">
        <f>'Simulation B2'!C1</f>
        <v>B2 Modèle de base avec diminution volontaire de 10% dont 10% par rapport à 2025</v>
      </c>
      <c r="L3" s="147"/>
      <c r="M3" s="148"/>
    </row>
    <row r="4" spans="1:13" x14ac:dyDescent="0.25">
      <c r="A4" s="149" t="s">
        <v>125</v>
      </c>
      <c r="B4" s="63">
        <v>1</v>
      </c>
      <c r="C4" s="64">
        <v>2</v>
      </c>
      <c r="D4" s="65">
        <v>3</v>
      </c>
      <c r="E4" s="63">
        <v>1</v>
      </c>
      <c r="F4" s="64">
        <v>2</v>
      </c>
      <c r="G4" s="65">
        <v>3</v>
      </c>
      <c r="H4" s="63">
        <v>1</v>
      </c>
      <c r="I4" s="64">
        <v>2</v>
      </c>
      <c r="J4" s="65">
        <v>3</v>
      </c>
      <c r="K4" s="63">
        <v>1</v>
      </c>
      <c r="L4" s="64">
        <v>2</v>
      </c>
      <c r="M4" s="65">
        <v>3</v>
      </c>
    </row>
    <row r="5" spans="1:13" ht="82.9" customHeight="1" thickBot="1" x14ac:dyDescent="0.3">
      <c r="A5" s="150"/>
      <c r="B5" s="56" t="s">
        <v>126</v>
      </c>
      <c r="C5" s="57" t="s">
        <v>127</v>
      </c>
      <c r="D5" s="58" t="s">
        <v>128</v>
      </c>
      <c r="E5" s="56" t="str">
        <f>B5</f>
        <v>Baisse des aliments par VL</v>
      </c>
      <c r="F5" s="57" t="str">
        <f t="shared" ref="F5:G5" si="0">C5</f>
        <v>Réforme anticipée de vaches</v>
      </c>
      <c r="G5" s="58" t="str">
        <f t="shared" si="0"/>
        <v>Engraissement de veaux</v>
      </c>
      <c r="H5" s="56" t="str">
        <f>K5</f>
        <v>Baisse des aliments par VL</v>
      </c>
      <c r="I5" s="57" t="str">
        <f>L5</f>
        <v>Réforme anticipée de vaches</v>
      </c>
      <c r="J5" s="58" t="str">
        <f>M5</f>
        <v>Engraissement de veaux</v>
      </c>
      <c r="K5" s="56" t="str">
        <f>E5</f>
        <v>Baisse des aliments par VL</v>
      </c>
      <c r="L5" s="57" t="str">
        <f>F5</f>
        <v>Réforme anticipée de vaches</v>
      </c>
      <c r="M5" s="58" t="str">
        <f>G5</f>
        <v>Engraissement de veaux</v>
      </c>
    </row>
    <row r="6" spans="1:13" s="53" customFormat="1" ht="51" customHeight="1" thickBot="1" x14ac:dyDescent="0.3">
      <c r="A6" s="59" t="s">
        <v>129</v>
      </c>
      <c r="B6" s="60">
        <f>'Simulation A1'!$J$147</f>
        <v>-0.26960273972602722</v>
      </c>
      <c r="C6" s="61">
        <f>'Simulation A1'!$J$148</f>
        <v>-0.46569016796159696</v>
      </c>
      <c r="D6" s="62">
        <f>'Simulation A1'!$J$149</f>
        <v>-0.27316922558922574</v>
      </c>
      <c r="E6" s="60">
        <f>'Simulation A2'!$J$147</f>
        <v>0</v>
      </c>
      <c r="F6" s="61">
        <f>'Simulation A2'!$J$148</f>
        <v>0</v>
      </c>
      <c r="G6" s="62">
        <f>'Simulation A2'!$J$149</f>
        <v>0</v>
      </c>
      <c r="H6" s="60">
        <f>'Simulation B1'!$J$147</f>
        <v>-0.2500427397260272</v>
      </c>
      <c r="I6" s="61">
        <f>'Simulation B1'!$J$148</f>
        <v>-0.44613016796159688</v>
      </c>
      <c r="J6" s="62">
        <f>'Simulation B1'!$J$149</f>
        <v>-0.27316922558922574</v>
      </c>
      <c r="K6" s="60">
        <f>'Simulation B2'!$J$147</f>
        <v>-0.27004273972602733</v>
      </c>
      <c r="L6" s="61">
        <f>'Simulation B2'!$J$148</f>
        <v>-0.4661301679615969</v>
      </c>
      <c r="M6" s="62">
        <f>'Simulation B2'!$J$149</f>
        <v>-0.27316922558922574</v>
      </c>
    </row>
  </sheetData>
  <mergeCells count="5">
    <mergeCell ref="H3:J3"/>
    <mergeCell ref="A4:A5"/>
    <mergeCell ref="K3:M3"/>
    <mergeCell ref="B3:D3"/>
    <mergeCell ref="E3:G3"/>
  </mergeCells>
  <conditionalFormatting sqref="B6:M6">
    <cfRule type="cellIs" dxfId="3" priority="5" operator="greaterThan">
      <formula>0</formula>
    </cfRule>
    <cfRule type="cellIs" dxfId="2" priority="6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B87B-0E7E-4408-B102-BFCF294EB4E4}">
  <dimension ref="A1:G5"/>
  <sheetViews>
    <sheetView tabSelected="1" zoomScale="115" zoomScaleNormal="115" workbookViewId="0">
      <selection activeCell="A3" sqref="A3:G5"/>
    </sheetView>
  </sheetViews>
  <sheetFormatPr baseColWidth="10" defaultColWidth="11.5703125" defaultRowHeight="13.5" x14ac:dyDescent="0.25"/>
  <cols>
    <col min="1" max="1" width="18.85546875" style="51" customWidth="1"/>
    <col min="2" max="7" width="11.85546875" style="52" customWidth="1"/>
    <col min="8" max="16384" width="11.5703125" style="52"/>
  </cols>
  <sheetData>
    <row r="1" spans="1:7" ht="15.75" x14ac:dyDescent="0.25">
      <c r="A1" s="54" t="s">
        <v>130</v>
      </c>
    </row>
    <row r="2" spans="1:7" ht="14.25" thickBot="1" x14ac:dyDescent="0.3"/>
    <row r="3" spans="1:7" ht="84.75" customHeight="1" x14ac:dyDescent="0.25">
      <c r="A3" s="55" t="s">
        <v>124</v>
      </c>
      <c r="B3" s="91" t="str">
        <f>'Simulation A1'!C1</f>
        <v>A1 Modèle de planification avec réduction volontaire de 7.6%</v>
      </c>
      <c r="C3" s="91" t="str">
        <f>'Simulation A2'!C1</f>
        <v>A2 Modèle de planification avec surlivraisons de 14%</v>
      </c>
      <c r="D3" s="91" t="str">
        <f>'Simulation B1'!C1</f>
        <v>B1 Modèle de base avec diminution volontaire de 5% dont 5% par rapport à 2025</v>
      </c>
      <c r="E3" s="91" t="str">
        <f>'Simulation B2'!C1</f>
        <v>B2 Modèle de base avec diminution volontaire de 10% dont 10% par rapport à 2025</v>
      </c>
      <c r="F3" s="91" t="str">
        <f>'Simulation B3'!C1</f>
        <v>B3 Modèle de base avec diminution volontaire de 10% dont 5% par rapport à 2025</v>
      </c>
      <c r="G3" s="91" t="str">
        <f>'Simulation B4'!C1</f>
        <v>B4 Modèle de base avec diminution volontaire de 20% dont 10% par rapport à 2025</v>
      </c>
    </row>
    <row r="4" spans="1:7" s="53" customFormat="1" ht="30" customHeight="1" thickBot="1" x14ac:dyDescent="0.3">
      <c r="A4" s="59" t="s">
        <v>116</v>
      </c>
      <c r="B4" s="151">
        <f>'Simulation A1'!G151</f>
        <v>-3105.6177161422438</v>
      </c>
      <c r="C4" s="151">
        <f>'Simulation A2'!G151</f>
        <v>-6737.505882352938</v>
      </c>
      <c r="D4" s="151">
        <f>'Simulation B1'!G151</f>
        <v>-612.688590972567</v>
      </c>
      <c r="E4" s="151">
        <f>'Simulation B2'!G151</f>
        <v>628.84006081619827</v>
      </c>
      <c r="F4" s="151">
        <f>'Simulation B3'!G151</f>
        <v>-1386.7297629470904</v>
      </c>
      <c r="G4" s="151">
        <f>'Simulation B4'!G151</f>
        <v>-3447.622060185784</v>
      </c>
    </row>
    <row r="5" spans="1:7" s="53" customFormat="1" ht="36.75" thickBot="1" x14ac:dyDescent="0.3">
      <c r="A5" s="59" t="s">
        <v>131</v>
      </c>
      <c r="B5" s="152">
        <f>'Simulation A1'!H151</f>
        <v>-2.5183255799240842E-2</v>
      </c>
      <c r="C5" s="152">
        <f>'Simulation A2'!H151</f>
        <v>-4.6305882352941155E-2</v>
      </c>
      <c r="D5" s="152">
        <f>'Simulation B1'!H151</f>
        <v>-5.2001760985237516E-3</v>
      </c>
      <c r="E5" s="152">
        <f>'Simulation B2'!H151</f>
        <v>5.482368165086033E-3</v>
      </c>
      <c r="F5" s="152">
        <f>'Simulation B3'!H151</f>
        <v>-1.1463137444584763E-2</v>
      </c>
      <c r="G5" s="152">
        <f>'Simulation B4'!H151</f>
        <v>-3.0124460171521466E-2</v>
      </c>
    </row>
  </sheetData>
  <conditionalFormatting sqref="B4:G5">
    <cfRule type="cellIs" dxfId="1" priority="1" operator="greaterThan">
      <formula>0</formula>
    </cfRule>
    <cfRule type="cellIs" dxfId="0" priority="2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8ABC-2180-4D14-9BA9-B87FC253C43C}">
  <dimension ref="A1:B47"/>
  <sheetViews>
    <sheetView workbookViewId="0">
      <selection activeCell="E24" sqref="E24"/>
    </sheetView>
  </sheetViews>
  <sheetFormatPr baseColWidth="10" defaultColWidth="11.42578125" defaultRowHeight="15" x14ac:dyDescent="0.25"/>
  <cols>
    <col min="1" max="1" width="20.7109375" customWidth="1"/>
    <col min="2" max="2" width="21.28515625" customWidth="1"/>
  </cols>
  <sheetData>
    <row r="1" spans="1:2" ht="18.75" x14ac:dyDescent="0.3">
      <c r="A1" s="48" t="s">
        <v>132</v>
      </c>
    </row>
    <row r="3" spans="1:2" x14ac:dyDescent="0.25">
      <c r="A3" s="9" t="s">
        <v>133</v>
      </c>
      <c r="B3" s="9" t="s">
        <v>134</v>
      </c>
    </row>
    <row r="4" spans="1:2" x14ac:dyDescent="0.25">
      <c r="A4" s="8">
        <v>1</v>
      </c>
      <c r="B4" s="49">
        <v>100</v>
      </c>
    </row>
    <row r="5" spans="1:2" x14ac:dyDescent="0.25">
      <c r="A5" s="8">
        <v>2</v>
      </c>
      <c r="B5" s="49">
        <v>97.652326307828972</v>
      </c>
    </row>
    <row r="6" spans="1:2" x14ac:dyDescent="0.25">
      <c r="A6" s="8">
        <v>3</v>
      </c>
      <c r="B6" s="49">
        <v>94.802983361893467</v>
      </c>
    </row>
    <row r="7" spans="1:2" x14ac:dyDescent="0.25">
      <c r="A7" s="8">
        <v>4</v>
      </c>
      <c r="B7" s="49">
        <v>91.773533692998399</v>
      </c>
    </row>
    <row r="8" spans="1:2" x14ac:dyDescent="0.25">
      <c r="A8" s="8">
        <v>5</v>
      </c>
      <c r="B8" s="49">
        <v>88.697147486912783</v>
      </c>
    </row>
    <row r="9" spans="1:2" x14ac:dyDescent="0.25">
      <c r="A9" s="8">
        <v>6</v>
      </c>
      <c r="B9" s="49">
        <v>85.643397486912789</v>
      </c>
    </row>
    <row r="10" spans="1:2" x14ac:dyDescent="0.25">
      <c r="A10" s="8">
        <v>7</v>
      </c>
      <c r="B10" s="49">
        <v>82.624647486912778</v>
      </c>
    </row>
    <row r="11" spans="1:2" x14ac:dyDescent="0.25">
      <c r="A11" s="8">
        <v>8</v>
      </c>
      <c r="B11" s="49">
        <v>79.632147486912785</v>
      </c>
    </row>
    <row r="12" spans="1:2" x14ac:dyDescent="0.25">
      <c r="A12" s="8">
        <v>9</v>
      </c>
      <c r="B12" s="49">
        <v>76.678039381147755</v>
      </c>
    </row>
    <row r="13" spans="1:2" x14ac:dyDescent="0.25">
      <c r="A13" s="8">
        <v>10</v>
      </c>
      <c r="B13" s="49">
        <v>73.764289381147748</v>
      </c>
    </row>
    <row r="14" spans="1:2" x14ac:dyDescent="0.25">
      <c r="A14" s="8">
        <v>11</v>
      </c>
      <c r="B14" s="49">
        <v>70.894289381147757</v>
      </c>
    </row>
    <row r="15" spans="1:2" x14ac:dyDescent="0.25">
      <c r="A15" s="8">
        <v>12</v>
      </c>
      <c r="B15" s="49">
        <v>68.076789381147748</v>
      </c>
    </row>
    <row r="16" spans="1:2" x14ac:dyDescent="0.25">
      <c r="A16" s="8">
        <v>13</v>
      </c>
      <c r="B16" s="49">
        <v>65.303066544689614</v>
      </c>
    </row>
    <row r="17" spans="1:2" x14ac:dyDescent="0.25">
      <c r="A17" s="8">
        <v>14</v>
      </c>
      <c r="B17" s="49">
        <v>62.573066544689624</v>
      </c>
    </row>
    <row r="18" spans="1:2" x14ac:dyDescent="0.25">
      <c r="A18" s="8">
        <v>15</v>
      </c>
      <c r="B18" s="49">
        <v>59.886816544689623</v>
      </c>
    </row>
    <row r="19" spans="1:2" x14ac:dyDescent="0.25">
      <c r="A19" s="8">
        <v>16</v>
      </c>
      <c r="B19" s="49">
        <v>57.244316544689617</v>
      </c>
    </row>
    <row r="20" spans="1:2" x14ac:dyDescent="0.25">
      <c r="A20" s="8">
        <v>17</v>
      </c>
      <c r="B20" s="49">
        <v>54.648605686857714</v>
      </c>
    </row>
    <row r="21" spans="1:2" x14ac:dyDescent="0.25">
      <c r="A21" s="8">
        <v>18</v>
      </c>
      <c r="B21" s="49">
        <v>52.093605686857721</v>
      </c>
    </row>
    <row r="22" spans="1:2" x14ac:dyDescent="0.25">
      <c r="A22" s="8">
        <v>19</v>
      </c>
      <c r="B22" s="49">
        <v>49.582355686857717</v>
      </c>
    </row>
    <row r="23" spans="1:2" x14ac:dyDescent="0.25">
      <c r="A23" s="8">
        <v>20</v>
      </c>
      <c r="B23" s="49">
        <v>47.114855686857716</v>
      </c>
    </row>
    <row r="24" spans="1:2" x14ac:dyDescent="0.25">
      <c r="A24" s="8">
        <v>21</v>
      </c>
      <c r="B24" s="49">
        <v>44.694161412172662</v>
      </c>
    </row>
    <row r="25" spans="1:2" x14ac:dyDescent="0.25">
      <c r="A25" s="8">
        <v>22</v>
      </c>
      <c r="B25" s="49">
        <v>42.314161412172666</v>
      </c>
    </row>
    <row r="26" spans="1:2" x14ac:dyDescent="0.25">
      <c r="A26" s="8">
        <v>23</v>
      </c>
      <c r="B26" s="49">
        <v>39.977911412172674</v>
      </c>
    </row>
    <row r="27" spans="1:2" x14ac:dyDescent="0.25">
      <c r="A27" s="8">
        <v>24</v>
      </c>
      <c r="B27" s="49">
        <v>37.685411412172677</v>
      </c>
    </row>
    <row r="28" spans="1:2" x14ac:dyDescent="0.25">
      <c r="A28" s="8">
        <v>25</v>
      </c>
      <c r="B28" s="49">
        <v>35.438487128960105</v>
      </c>
    </row>
    <row r="29" spans="1:2" x14ac:dyDescent="0.25">
      <c r="A29" s="8">
        <v>26</v>
      </c>
      <c r="B29" s="49">
        <v>33.233487128960107</v>
      </c>
    </row>
    <row r="30" spans="1:2" x14ac:dyDescent="0.25">
      <c r="A30" s="8">
        <v>27</v>
      </c>
      <c r="B30" s="49">
        <v>31.072237128960111</v>
      </c>
    </row>
    <row r="31" spans="1:2" x14ac:dyDescent="0.25">
      <c r="A31" s="8">
        <v>28</v>
      </c>
      <c r="B31" s="49">
        <v>28.954737128960119</v>
      </c>
    </row>
    <row r="32" spans="1:2" x14ac:dyDescent="0.25">
      <c r="A32" s="8">
        <v>29</v>
      </c>
      <c r="B32" s="49">
        <v>26.883127408435726</v>
      </c>
    </row>
    <row r="33" spans="1:2" x14ac:dyDescent="0.25">
      <c r="A33" s="8">
        <v>30</v>
      </c>
      <c r="B33" s="49">
        <v>24.853127408435725</v>
      </c>
    </row>
    <row r="34" spans="1:2" x14ac:dyDescent="0.25">
      <c r="A34" s="8">
        <v>31</v>
      </c>
      <c r="B34" s="49">
        <v>22.866877408435741</v>
      </c>
    </row>
    <row r="35" spans="1:2" x14ac:dyDescent="0.25">
      <c r="A35" s="8">
        <v>32</v>
      </c>
      <c r="B35" s="49">
        <v>20.933127408435737</v>
      </c>
    </row>
    <row r="36" spans="1:2" x14ac:dyDescent="0.25">
      <c r="A36" s="8">
        <v>33</v>
      </c>
      <c r="B36" s="49">
        <v>19.042773761760444</v>
      </c>
    </row>
    <row r="37" spans="1:2" x14ac:dyDescent="0.25">
      <c r="A37" s="8">
        <v>34</v>
      </c>
      <c r="B37" s="49">
        <v>17.196523761760446</v>
      </c>
    </row>
    <row r="38" spans="1:2" x14ac:dyDescent="0.25">
      <c r="A38" s="8">
        <v>35</v>
      </c>
      <c r="B38" s="49">
        <v>15.402773761760443</v>
      </c>
    </row>
    <row r="39" spans="1:2" x14ac:dyDescent="0.25">
      <c r="A39" s="8">
        <v>36</v>
      </c>
      <c r="B39" s="49">
        <v>13.652773761760443</v>
      </c>
    </row>
    <row r="40" spans="1:2" x14ac:dyDescent="0.25">
      <c r="A40" s="8">
        <v>37</v>
      </c>
      <c r="B40" s="49">
        <v>11.956611046039143</v>
      </c>
    </row>
    <row r="41" spans="1:2" x14ac:dyDescent="0.25">
      <c r="A41" s="8">
        <v>38</v>
      </c>
      <c r="B41" s="49">
        <v>10.311611046039133</v>
      </c>
    </row>
    <row r="42" spans="1:2" x14ac:dyDescent="0.25">
      <c r="A42" s="8">
        <v>39</v>
      </c>
      <c r="B42" s="49">
        <v>8.7191110460391457</v>
      </c>
    </row>
    <row r="43" spans="1:2" x14ac:dyDescent="0.25">
      <c r="A43" s="8">
        <v>40</v>
      </c>
      <c r="B43" s="49">
        <v>7.1878610460391457</v>
      </c>
    </row>
    <row r="44" spans="1:2" x14ac:dyDescent="0.25">
      <c r="A44" s="8">
        <v>41</v>
      </c>
      <c r="B44" s="49">
        <v>5.7100170511876058</v>
      </c>
    </row>
    <row r="45" spans="1:2" x14ac:dyDescent="0.25">
      <c r="A45" s="8">
        <v>42</v>
      </c>
      <c r="B45" s="49">
        <v>4.2925170511876019</v>
      </c>
    </row>
    <row r="46" spans="1:2" x14ac:dyDescent="0.25">
      <c r="A46" s="8">
        <v>43</v>
      </c>
      <c r="B46" s="49">
        <v>2.9362670511876132</v>
      </c>
    </row>
    <row r="47" spans="1:2" x14ac:dyDescent="0.25">
      <c r="A47" s="8">
        <v>44</v>
      </c>
      <c r="B47" s="49">
        <v>1.6500170511876178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928EE5CB940A478E8519B488F20D45" ma:contentTypeVersion="25" ma:contentTypeDescription="Crée un document." ma:contentTypeScope="" ma:versionID="5c880014d1a43a0ba75d7e72f770635c">
  <xsd:schema xmlns:xsd="http://www.w3.org/2001/XMLSchema" xmlns:xs="http://www.w3.org/2001/XMLSchema" xmlns:p="http://schemas.microsoft.com/office/2006/metadata/properties" xmlns:ns1="http://schemas.microsoft.com/sharepoint/v3" xmlns:ns2="8394a41b-3f0a-4b2b-bcf5-d4601073836f" xmlns:ns3="1eb871fe-9463-4134-b0e8-ce628b4b5495" targetNamespace="http://schemas.microsoft.com/office/2006/metadata/properties" ma:root="true" ma:fieldsID="f2c5f12eec02fd710a7f496c11d4eb49" ns1:_="" ns2:_="" ns3:_="">
    <xsd:import namespace="http://schemas.microsoft.com/sharepoint/v3"/>
    <xsd:import namespace="8394a41b-3f0a-4b2b-bcf5-d4601073836f"/>
    <xsd:import namespace="1eb871fe-9463-4134-b0e8-ce628b4b5495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Th_x00e9_matiqu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4a41b-3f0a-4b2b-bcf5-d4601073836f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État de validation" ma:internalName="_x00c9_tat_x0020_de_x0020_validation" ma:readOnly="false">
      <xsd:simpleType>
        <xsd:restriction base="dms:Text"/>
      </xsd:simpleType>
    </xsd:element>
    <xsd:element name="Th_x00e9_matique" ma:index="3" nillable="true" ma:displayName="Thématique" ma:format="Dropdown" ma:internalName="Th_x00e9_matiq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Législation générale"/>
                    <xsd:enumeration value="Agriculture en général"/>
                    <xsd:enumeration value="Paiements directs &amp; autres contributions"/>
                    <xsd:enumeration value="Propriété foncière rurale &amp; bail à ferme"/>
                    <xsd:enumeration value="Améliorations structurelles"/>
                    <xsd:enumeration value="Fiscalité"/>
                    <xsd:enumeration value="Aménagement du territoire"/>
                    <xsd:enumeration value="Protection des animaux"/>
                    <xsd:enumeration value="Protection des eaux"/>
                    <xsd:enumeration value="Contrat type de travail &amp; prévoyance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Balises d’images" ma:readOnly="false" ma:fieldId="{5cf76f15-5ced-4ddc-b409-7134ff3c332f}" ma:taxonomyMulti="true" ma:sspId="6ee0a7d4-03bd-457a-9d9a-0899bbec8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871fe-9463-4134-b0e8-ce628b4b549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Partagé avec dé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8394a41b-3f0a-4b2b-bcf5-d4601073836f">
      <Terms xmlns="http://schemas.microsoft.com/office/infopath/2007/PartnerControls"/>
    </lcf76f155ced4ddcb4097134ff3c332f>
    <Th_x00e9_matique xmlns="8394a41b-3f0a-4b2b-bcf5-d4601073836f" xsi:nil="true"/>
    <_ip_UnifiedCompliancePolicyProperties xmlns="http://schemas.microsoft.com/sharepoint/v3" xsi:nil="true"/>
    <_Flow_SignoffStatus xmlns="8394a41b-3f0a-4b2b-bcf5-d460107383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7956C3-E81B-40DD-8883-3D0713000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94a41b-3f0a-4b2b-bcf5-d4601073836f"/>
    <ds:schemaRef ds:uri="1eb871fe-9463-4134-b0e8-ce628b4b5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C04EDD-F02B-4B54-8660-24B6853F6533}">
  <ds:schemaRefs>
    <ds:schemaRef ds:uri="8394a41b-3f0a-4b2b-bcf5-d4601073836f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1eb871fe-9463-4134-b0e8-ce628b4b5495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B3F68C-3A96-47CF-8AD5-9C35171EAE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Simulation A1</vt:lpstr>
      <vt:lpstr>Simulation A2</vt:lpstr>
      <vt:lpstr>Simulation B1</vt:lpstr>
      <vt:lpstr>Simulation B2</vt:lpstr>
      <vt:lpstr>Simulation B3</vt:lpstr>
      <vt:lpstr>Simulation B4</vt:lpstr>
      <vt:lpstr>Synthése des impact des options</vt:lpstr>
      <vt:lpstr>Synthése des scénarios</vt:lpstr>
      <vt:lpstr>Solde de lait à traire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Baume Claude-Alain</dc:creator>
  <cp:keywords/>
  <dc:description/>
  <cp:lastModifiedBy>Baume Claude-Alain</cp:lastModifiedBy>
  <cp:revision/>
  <cp:lastPrinted>2026-01-30T13:03:54Z</cp:lastPrinted>
  <dcterms:created xsi:type="dcterms:W3CDTF">2025-12-24T05:45:06Z</dcterms:created>
  <dcterms:modified xsi:type="dcterms:W3CDTF">2026-01-30T13:37:41Z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0x010100F0928EE5CB940A478E8519B488F20D45</vt:lpwstr>
  </property>
  <property fmtid="{D5CDD505-2E9C-101B-9397-08002B2CF9AE}" pid="3" name="MediaServiceImageTags">
    <vt:lpwstr/>
  </property>
</Properties>
</file>