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frij.sharepoint.com/sites/DptConseils/Documents partages/2100 Conseil PA/Production animale/PouponM/Article PL/AchatFourrage/"/>
    </mc:Choice>
  </mc:AlternateContent>
  <xr:revisionPtr revIDLastSave="750" documentId="8_{7C51A40A-1A67-43E1-ACC9-9221EC1675F6}" xr6:coauthVersionLast="47" xr6:coauthVersionMax="47" xr10:uidLastSave="{E7F88B06-E01F-4D4C-B68F-2C5200F467DE}"/>
  <workbookProtection lockStructure="1"/>
  <bookViews>
    <workbookView xWindow="-120" yWindow="-120" windowWidth="29040" windowHeight="15720" tabRatio="742" activeTab="4" xr2:uid="{76AC3136-304C-4362-9AB9-0E2834458390}"/>
  </bookViews>
  <sheets>
    <sheet name="Achats ENS" sheetId="5" r:id="rId1"/>
    <sheet name="Achats FR" sheetId="6" r:id="rId2"/>
    <sheet name="Réforme ENS" sheetId="1" r:id="rId3"/>
    <sheet name="Réforme FR" sheetId="3" r:id="rId4"/>
    <sheet name="Achats paille" sheetId="7" r:id="rId5"/>
    <sheet name="Mixte ENS" sheetId="2" r:id="rId6"/>
    <sheet name="Mixte FR" sheetId="4" r:id="rId7"/>
  </sheets>
  <definedNames>
    <definedName name="_xlnm.Print_Area" localSheetId="0">'Achats ENS'!$A$1:$J$34</definedName>
    <definedName name="_xlnm.Print_Area" localSheetId="1">'Achats FR'!$A$1:$J$34</definedName>
    <definedName name="_xlnm.Print_Area" localSheetId="4">'Achats paille'!$A$1:$J$34</definedName>
    <definedName name="_xlnm.Print_Area" localSheetId="5">'Mixte ENS'!$A$1:$J$34</definedName>
    <definedName name="_xlnm.Print_Area" localSheetId="6">'Mixte FR'!$A$1:$J$34</definedName>
    <definedName name="_xlnm.Print_Area" localSheetId="2">'Réforme ENS'!$A$1:$J$34</definedName>
    <definedName name="_xlnm.Print_Area" localSheetId="3">'Réforme FR'!$A$1:$J$34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3" i="7" l="1"/>
  <c r="C29" i="7"/>
  <c r="C31" i="7" s="1"/>
  <c r="J28" i="7"/>
  <c r="I28" i="7"/>
  <c r="C28" i="7"/>
  <c r="J27" i="7"/>
  <c r="I27" i="7"/>
  <c r="C27" i="7"/>
  <c r="J26" i="7"/>
  <c r="I26" i="7"/>
  <c r="J25" i="7"/>
  <c r="I25" i="7"/>
  <c r="J24" i="7"/>
  <c r="I24" i="7"/>
  <c r="J23" i="7"/>
  <c r="I23" i="7"/>
  <c r="B23" i="7"/>
  <c r="J22" i="7"/>
  <c r="I22" i="7"/>
  <c r="J21" i="7"/>
  <c r="I21" i="7"/>
  <c r="AB8" i="7"/>
  <c r="AB7" i="7"/>
  <c r="H6" i="7"/>
  <c r="H7" i="7" s="1"/>
  <c r="C27" i="2"/>
  <c r="H6" i="1"/>
  <c r="C28" i="1"/>
  <c r="C27" i="1"/>
  <c r="C33" i="6"/>
  <c r="C29" i="6"/>
  <c r="J28" i="6"/>
  <c r="I28" i="6"/>
  <c r="C28" i="6"/>
  <c r="J27" i="6"/>
  <c r="I27" i="6"/>
  <c r="C27" i="6"/>
  <c r="J26" i="6"/>
  <c r="I26" i="6"/>
  <c r="J25" i="6"/>
  <c r="I25" i="6"/>
  <c r="J24" i="6"/>
  <c r="I24" i="6"/>
  <c r="J23" i="6"/>
  <c r="I23" i="6"/>
  <c r="B23" i="6"/>
  <c r="J22" i="6"/>
  <c r="I22" i="6"/>
  <c r="J21" i="6"/>
  <c r="I21" i="6"/>
  <c r="AB8" i="6"/>
  <c r="AB7" i="6"/>
  <c r="H6" i="6"/>
  <c r="C33" i="5"/>
  <c r="C29" i="5"/>
  <c r="J28" i="5"/>
  <c r="I28" i="5"/>
  <c r="C28" i="5"/>
  <c r="J27" i="5"/>
  <c r="I27" i="5"/>
  <c r="C27" i="5"/>
  <c r="J26" i="5"/>
  <c r="I26" i="5"/>
  <c r="J25" i="5"/>
  <c r="I25" i="5"/>
  <c r="J24" i="5"/>
  <c r="I24" i="5"/>
  <c r="J23" i="5"/>
  <c r="I23" i="5"/>
  <c r="B23" i="5"/>
  <c r="J22" i="5"/>
  <c r="I22" i="5"/>
  <c r="J21" i="5"/>
  <c r="I21" i="5"/>
  <c r="AB8" i="5"/>
  <c r="AB7" i="5"/>
  <c r="H6" i="5"/>
  <c r="H7" i="5" s="1"/>
  <c r="C33" i="4"/>
  <c r="C29" i="4"/>
  <c r="J28" i="4"/>
  <c r="I28" i="4"/>
  <c r="C28" i="4"/>
  <c r="J27" i="4"/>
  <c r="I27" i="4"/>
  <c r="C27" i="4"/>
  <c r="J26" i="4"/>
  <c r="I26" i="4"/>
  <c r="J25" i="4"/>
  <c r="I25" i="4"/>
  <c r="J24" i="4"/>
  <c r="I24" i="4"/>
  <c r="J23" i="4"/>
  <c r="I23" i="4"/>
  <c r="B23" i="4"/>
  <c r="J22" i="4"/>
  <c r="I22" i="4"/>
  <c r="J21" i="4"/>
  <c r="I21" i="4"/>
  <c r="AB7" i="4"/>
  <c r="AB6" i="4"/>
  <c r="H6" i="4"/>
  <c r="H7" i="4" s="1"/>
  <c r="C33" i="3"/>
  <c r="C29" i="3"/>
  <c r="J28" i="3"/>
  <c r="I28" i="3"/>
  <c r="C28" i="3"/>
  <c r="J27" i="3"/>
  <c r="I27" i="3"/>
  <c r="C27" i="3"/>
  <c r="J26" i="3"/>
  <c r="I26" i="3"/>
  <c r="J25" i="3"/>
  <c r="I25" i="3"/>
  <c r="J24" i="3"/>
  <c r="I24" i="3"/>
  <c r="J23" i="3"/>
  <c r="I23" i="3"/>
  <c r="B23" i="3"/>
  <c r="J22" i="3"/>
  <c r="I22" i="3"/>
  <c r="J21" i="3"/>
  <c r="I21" i="3"/>
  <c r="AB8" i="3"/>
  <c r="AB7" i="3"/>
  <c r="H6" i="3"/>
  <c r="C33" i="2"/>
  <c r="C29" i="2"/>
  <c r="J28" i="2"/>
  <c r="I28" i="2"/>
  <c r="C28" i="2"/>
  <c r="J27" i="2"/>
  <c r="I27" i="2"/>
  <c r="J26" i="2"/>
  <c r="I26" i="2"/>
  <c r="J25" i="2"/>
  <c r="I25" i="2"/>
  <c r="J24" i="2"/>
  <c r="I24" i="2"/>
  <c r="J23" i="2"/>
  <c r="I23" i="2"/>
  <c r="B23" i="2"/>
  <c r="J22" i="2"/>
  <c r="I22" i="2"/>
  <c r="J21" i="2"/>
  <c r="I21" i="2"/>
  <c r="AB7" i="2"/>
  <c r="AB6" i="2"/>
  <c r="H6" i="2"/>
  <c r="C33" i="1"/>
  <c r="AB8" i="1"/>
  <c r="AB7" i="1"/>
  <c r="B23" i="1"/>
  <c r="I22" i="1"/>
  <c r="I23" i="1"/>
  <c r="I24" i="1"/>
  <c r="I25" i="1"/>
  <c r="I26" i="1"/>
  <c r="I27" i="1"/>
  <c r="I28" i="1"/>
  <c r="I21" i="1"/>
  <c r="C29" i="1"/>
  <c r="J22" i="1"/>
  <c r="J23" i="1"/>
  <c r="J24" i="1"/>
  <c r="J25" i="1"/>
  <c r="J26" i="1"/>
  <c r="J27" i="1"/>
  <c r="J28" i="1"/>
  <c r="J21" i="1"/>
  <c r="J33" i="7" l="1"/>
  <c r="H14" i="7" s="1"/>
  <c r="J31" i="7"/>
  <c r="H13" i="7" s="1"/>
  <c r="H7" i="1"/>
  <c r="J33" i="3"/>
  <c r="H14" i="3" s="1"/>
  <c r="J33" i="6"/>
  <c r="H14" i="6" s="1"/>
  <c r="J31" i="3"/>
  <c r="J33" i="5"/>
  <c r="H14" i="5" s="1"/>
  <c r="H7" i="2"/>
  <c r="J31" i="6"/>
  <c r="C31" i="6"/>
  <c r="H7" i="6"/>
  <c r="J31" i="5"/>
  <c r="C31" i="5"/>
  <c r="J33" i="4"/>
  <c r="H14" i="4" s="1"/>
  <c r="J31" i="4"/>
  <c r="C31" i="4"/>
  <c r="C31" i="3"/>
  <c r="H13" i="3" s="1"/>
  <c r="H7" i="3"/>
  <c r="C31" i="2"/>
  <c r="J33" i="2"/>
  <c r="H14" i="2" s="1"/>
  <c r="J31" i="2"/>
  <c r="J31" i="1"/>
  <c r="J33" i="1"/>
  <c r="C31" i="1"/>
  <c r="H13" i="2" l="1"/>
  <c r="H13" i="5"/>
  <c r="H13" i="6"/>
  <c r="H13" i="4"/>
  <c r="H14" i="1"/>
  <c r="H13" i="1"/>
</calcChain>
</file>

<file path=xl/sharedStrings.xml><?xml version="1.0" encoding="utf-8"?>
<sst xmlns="http://schemas.openxmlformats.org/spreadsheetml/2006/main" count="364" uniqueCount="58">
  <si>
    <t>Nombre de vaches laitières dans le troupeau</t>
  </si>
  <si>
    <t>Nombre de vaches laitières réformées</t>
  </si>
  <si>
    <t>Fourrages</t>
  </si>
  <si>
    <t>Foin</t>
  </si>
  <si>
    <t>Regain</t>
  </si>
  <si>
    <t>Ensilage maïs (balles rondes)</t>
  </si>
  <si>
    <t>Luzerne</t>
  </si>
  <si>
    <t xml:space="preserve">Paille </t>
  </si>
  <si>
    <t>Pulpes de betteraves (ensilées)</t>
  </si>
  <si>
    <t>Pulpes de betteraves (séchées)</t>
  </si>
  <si>
    <t>Prix du lait [Fr./kg]</t>
  </si>
  <si>
    <t>Données de base</t>
  </si>
  <si>
    <t>Déficit fourrager [jours]</t>
  </si>
  <si>
    <t>Performance laitière [kg lait/VL/an]</t>
  </si>
  <si>
    <t>Situation de départ</t>
  </si>
  <si>
    <t xml:space="preserve">Jours moyens de lactation au moment de la réforme </t>
  </si>
  <si>
    <t>Elles auraient encore produit en moyenne [kg lait/jour]</t>
  </si>
  <si>
    <t>Quantité de concentrés distribuée [kg/VL/an]</t>
  </si>
  <si>
    <t>Prix moyen du concentré [Fr./dt MF]</t>
  </si>
  <si>
    <t>Poids vif moyen des animaux au moment de la réforme [kg PV]</t>
  </si>
  <si>
    <t>Prix de boucherie [Fr./kg PV]</t>
  </si>
  <si>
    <t>Vente de lait en moins [Fr.]</t>
  </si>
  <si>
    <t>Produit sur les ventes de vaches [Fr.]</t>
  </si>
  <si>
    <t>Concentrés non consommés [Fr.]</t>
  </si>
  <si>
    <t>1. Réforme anticipée de vaches en lactation liée à la sécheresse</t>
  </si>
  <si>
    <t>2. Achat de fourrages compémentaires lié à la sécheresse</t>
  </si>
  <si>
    <t>Quantités achetées [dt MS]</t>
  </si>
  <si>
    <t>Fourrage économisé par la mesure [dt MS]</t>
  </si>
  <si>
    <t>Manque de fourrage avec le déficit fourrager [dt MS]</t>
  </si>
  <si>
    <t>Bilan des mesures cumulées</t>
  </si>
  <si>
    <t xml:space="preserve">Quantité </t>
  </si>
  <si>
    <t>[dt MF}</t>
  </si>
  <si>
    <t>Prix</t>
  </si>
  <si>
    <t>[Fr./dt MF]</t>
  </si>
  <si>
    <t xml:space="preserve">MS </t>
  </si>
  <si>
    <t>[%]</t>
  </si>
  <si>
    <t xml:space="preserve">Achat </t>
  </si>
  <si>
    <t>[dt MS]</t>
  </si>
  <si>
    <t>[Fr.]</t>
  </si>
  <si>
    <t xml:space="preserve">Coûts d'achat </t>
  </si>
  <si>
    <t>Modifications sur les charges et produits</t>
  </si>
  <si>
    <t>Impact de la mesure sur le résultat économique [Fr.]</t>
  </si>
  <si>
    <t>Impact économique [Fr.]</t>
  </si>
  <si>
    <t>Réserves de fourrage [dt MS]</t>
  </si>
  <si>
    <t>consommation du troupeau</t>
  </si>
  <si>
    <t>consommation 1 VL</t>
  </si>
  <si>
    <t>Nombre de vaches en trop sur 365 jours</t>
  </si>
  <si>
    <t>Déficit fourrager : réduire les effectifs ou acheter des fourrages ?</t>
  </si>
  <si>
    <t>Variante : achats de fourrage en lait d'industrie</t>
  </si>
  <si>
    <t>Variante : réforme anticipée des vaches en lait de fromagerie</t>
  </si>
  <si>
    <t>Variante : réforme anticipée des vaches en lait d'industrie</t>
  </si>
  <si>
    <t>Variante : mixte en lait d'industrie</t>
  </si>
  <si>
    <t>"Cellules mofifiables" en jaune</t>
  </si>
  <si>
    <t>Variante : achats de fourrage en lait de fromagerie</t>
  </si>
  <si>
    <t>Variante : mixte en lait de fromagerie</t>
  </si>
  <si>
    <t>Variante : achats de paille et concentrés pour fourrager taries</t>
  </si>
  <si>
    <t xml:space="preserve">Concentré </t>
  </si>
  <si>
    <t>Concentré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</si>
</sst>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 val="singleAccounting"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 val="singleAccounting"/>
      <sz val="14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2" borderId="5" xfId="1" applyFont="1" applyFill="1" applyBorder="1" applyProtection="1">
      <protection locked="0"/>
    </xf>
    <xf numFmtId="43" fontId="0" fillId="0" borderId="5" xfId="1" applyFont="1" applyBorder="1"/>
    <xf numFmtId="164" fontId="0" fillId="2" borderId="5" xfId="1" applyNumberFormat="1" applyFont="1" applyFill="1" applyBorder="1" applyProtection="1">
      <protection locked="0"/>
    </xf>
    <xf numFmtId="164" fontId="0" fillId="0" borderId="5" xfId="1" applyNumberFormat="1" applyFont="1" applyBorder="1"/>
    <xf numFmtId="0" fontId="4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0" fillId="5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5" borderId="1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1" fillId="0" borderId="4" xfId="0" applyFont="1" applyBorder="1"/>
    <xf numFmtId="164" fontId="1" fillId="0" borderId="5" xfId="1" applyNumberFormat="1" applyFont="1" applyBorder="1"/>
    <xf numFmtId="164" fontId="0" fillId="0" borderId="0" xfId="1" applyNumberFormat="1" applyFont="1" applyBorder="1"/>
    <xf numFmtId="0" fontId="1" fillId="0" borderId="0" xfId="0" applyFont="1"/>
    <xf numFmtId="164" fontId="0" fillId="2" borderId="0" xfId="1" applyNumberFormat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164" fontId="7" fillId="2" borderId="0" xfId="1" applyNumberFormat="1" applyFont="1" applyFill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164" fontId="6" fillId="2" borderId="0" xfId="1" applyNumberFormat="1" applyFont="1" applyFill="1" applyBorder="1" applyAlignment="1" applyProtection="1">
      <alignment horizontal="left"/>
      <protection locked="0"/>
    </xf>
    <xf numFmtId="164" fontId="8" fillId="2" borderId="0" xfId="1" applyNumberFormat="1" applyFont="1" applyFill="1" applyBorder="1" applyAlignment="1" applyProtection="1">
      <alignment horizontal="left"/>
      <protection locked="0"/>
    </xf>
  </cellXfs>
  <cellStyles count="2">
    <cellStyle name="Milliers" xfId="1" builtinId="3"/>
    <cellStyle name="Normal" xfId="0" builtinId="0"/>
  </cellStyles>
  <dxfs count="21"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1B4B-F403-4106-AD8B-4050D96F2CB9}">
  <dimension ref="A1:AB34"/>
  <sheetViews>
    <sheetView showGridLines="0" zoomScaleNormal="100" workbookViewId="0">
      <selection activeCell="E22" sqref="E22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48</v>
      </c>
      <c r="B3" s="33"/>
      <c r="C3" s="33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ROUNDUP(-H6/AB8,0)</f>
        <v>4</v>
      </c>
      <c r="AA7" t="s">
        <v>44</v>
      </c>
      <c r="AB7">
        <f>ROUNDUP(C6*IF(C7&lt;6000,55,55*(1+0.0001*(C7-6000))),0)</f>
        <v>2750</v>
      </c>
    </row>
    <row r="8" spans="1:28" ht="7.5" customHeight="1" thickBot="1" x14ac:dyDescent="0.3">
      <c r="A8" s="1"/>
      <c r="C8" s="9"/>
      <c r="E8" s="3"/>
      <c r="F8" s="4"/>
      <c r="G8" s="4"/>
      <c r="H8" s="5"/>
      <c r="AA8" t="s">
        <v>45</v>
      </c>
      <c r="AB8">
        <f>ROUNDUP(IF(C7&lt;6000,55,55*(1+0.0001*(C7-6000))),0)</f>
        <v>69</v>
      </c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0.53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-8798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3.4000000000000057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/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/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/>
      <c r="E21" s="1" t="s">
        <v>56</v>
      </c>
      <c r="F21" s="22"/>
      <c r="G21" s="23">
        <v>60</v>
      </c>
      <c r="H21" s="26">
        <v>88</v>
      </c>
      <c r="I21" s="20">
        <f t="shared" ref="I21:I28" si="0">F21*H21/100</f>
        <v>0</v>
      </c>
      <c r="J21" s="9">
        <f t="shared" ref="J21:J28" si="1">G21*F21</f>
        <v>0</v>
      </c>
    </row>
    <row r="22" spans="1:10" x14ac:dyDescent="0.25">
      <c r="A22" s="1" t="s">
        <v>15</v>
      </c>
      <c r="C22" s="8"/>
      <c r="E22" s="1" t="s">
        <v>3</v>
      </c>
      <c r="F22" s="22"/>
      <c r="G22" s="23">
        <v>33</v>
      </c>
      <c r="H22" s="26">
        <v>88</v>
      </c>
      <c r="I22" s="20">
        <f t="shared" si="0"/>
        <v>0</v>
      </c>
      <c r="J22" s="9">
        <f t="shared" si="1"/>
        <v>0</v>
      </c>
    </row>
    <row r="23" spans="1:10" x14ac:dyDescent="0.25">
      <c r="A23" s="1"/>
      <c r="B23" t="str">
        <f>"Mes vaches sont réformées avec "&amp;305-C22&amp;" jours d'avance"</f>
        <v>Mes vaches sont réformées avec 305 jours d'avance</v>
      </c>
      <c r="C23" s="7"/>
      <c r="E23" s="1" t="s">
        <v>4</v>
      </c>
      <c r="F23" s="22"/>
      <c r="G23" s="23">
        <v>35</v>
      </c>
      <c r="H23" s="26">
        <v>88</v>
      </c>
      <c r="I23" s="20">
        <f t="shared" si="0"/>
        <v>0</v>
      </c>
      <c r="J23" s="9">
        <f t="shared" si="1"/>
        <v>0</v>
      </c>
    </row>
    <row r="24" spans="1:10" x14ac:dyDescent="0.25">
      <c r="A24" s="1"/>
      <c r="B24" t="s">
        <v>16</v>
      </c>
      <c r="C24" s="8"/>
      <c r="E24" s="1" t="s">
        <v>5</v>
      </c>
      <c r="F24" s="22">
        <v>420</v>
      </c>
      <c r="G24" s="23">
        <v>14.7</v>
      </c>
      <c r="H24" s="26">
        <v>32</v>
      </c>
      <c r="I24" s="20">
        <f t="shared" si="0"/>
        <v>134.4</v>
      </c>
      <c r="J24" s="9">
        <f t="shared" si="1"/>
        <v>6174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/>
      <c r="G26" s="23">
        <v>19</v>
      </c>
      <c r="H26" s="26">
        <v>88</v>
      </c>
      <c r="I26" s="20">
        <f t="shared" si="0"/>
        <v>0</v>
      </c>
      <c r="J26" s="9">
        <f t="shared" si="1"/>
        <v>0</v>
      </c>
    </row>
    <row r="27" spans="1:10" x14ac:dyDescent="0.25">
      <c r="A27" s="1" t="s">
        <v>21</v>
      </c>
      <c r="C27" s="9">
        <f>-C24*(305-C22)*C19*C12</f>
        <v>0</v>
      </c>
      <c r="E27" s="1" t="s">
        <v>8</v>
      </c>
      <c r="F27" s="22">
        <v>320</v>
      </c>
      <c r="G27" s="23">
        <v>8.1999999999999993</v>
      </c>
      <c r="H27" s="26">
        <v>30</v>
      </c>
      <c r="I27" s="20">
        <f t="shared" si="0"/>
        <v>96</v>
      </c>
      <c r="J27" s="9">
        <f t="shared" si="1"/>
        <v>2624</v>
      </c>
    </row>
    <row r="28" spans="1:10" x14ac:dyDescent="0.25">
      <c r="A28" s="1" t="s">
        <v>22</v>
      </c>
      <c r="C28" s="9">
        <f>C21*C20*C19</f>
        <v>0</v>
      </c>
      <c r="E28" s="1" t="s">
        <v>9</v>
      </c>
      <c r="F28" s="22"/>
      <c r="G28" s="23">
        <v>46</v>
      </c>
      <c r="H28" s="26">
        <v>88</v>
      </c>
      <c r="I28" s="20">
        <f t="shared" si="0"/>
        <v>0</v>
      </c>
      <c r="J28" s="9">
        <f t="shared" si="1"/>
        <v>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0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0</v>
      </c>
      <c r="E31" s="18" t="s">
        <v>41</v>
      </c>
      <c r="F31" s="21"/>
      <c r="G31" s="21"/>
      <c r="H31" s="21"/>
      <c r="I31" s="21"/>
      <c r="J31" s="19">
        <f>-SUM(J21:J28)</f>
        <v>-8798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0</v>
      </c>
      <c r="E33" s="18" t="s">
        <v>26</v>
      </c>
      <c r="F33" s="21"/>
      <c r="G33" s="21"/>
      <c r="H33" s="21"/>
      <c r="I33" s="21"/>
      <c r="J33" s="19">
        <f>SUM(I21:I28)</f>
        <v>230.4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14" priority="1" operator="greaterThan">
      <formula>0</formula>
    </cfRule>
    <cfRule type="cellIs" dxfId="13" priority="2" operator="equal">
      <formula>0</formula>
    </cfRule>
    <cfRule type="cellIs" dxfId="12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C1C4-FCC8-4F80-A532-52230B3E998E}">
  <dimension ref="A1:AB34"/>
  <sheetViews>
    <sheetView showGridLines="0" topLeftCell="A3" zoomScaleNormal="100" workbookViewId="0">
      <selection activeCell="E22" sqref="E22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53</v>
      </c>
      <c r="B3" s="33"/>
      <c r="C3" s="33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ROUNDUP(-H6/AB8,0)</f>
        <v>4</v>
      </c>
      <c r="AA7" t="s">
        <v>44</v>
      </c>
      <c r="AB7">
        <f>ROUNDUP(C6*IF(C7&lt;6000,55,55*(1+0.0001*(C7-6000))),0)</f>
        <v>2750</v>
      </c>
    </row>
    <row r="8" spans="1:28" ht="7.5" customHeight="1" thickBot="1" x14ac:dyDescent="0.3">
      <c r="A8" s="1"/>
      <c r="C8" s="9"/>
      <c r="E8" s="3"/>
      <c r="F8" s="4"/>
      <c r="G8" s="4"/>
      <c r="H8" s="5"/>
      <c r="AA8" t="s">
        <v>45</v>
      </c>
      <c r="AB8">
        <f>ROUNDUP(IF(C7&lt;6000,55,55*(1+0.0001*(C7-6000))),0)</f>
        <v>69</v>
      </c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0.85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-10350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1.8000000000000114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/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/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/>
      <c r="E21" s="1" t="s">
        <v>57</v>
      </c>
      <c r="F21" s="22"/>
      <c r="G21" s="23">
        <v>60</v>
      </c>
      <c r="H21" s="26">
        <v>88</v>
      </c>
      <c r="I21" s="20">
        <f t="shared" ref="I21:I28" si="0">F21*H21/100</f>
        <v>0</v>
      </c>
      <c r="J21" s="9">
        <f t="shared" ref="J21:J28" si="1">G21*F21</f>
        <v>0</v>
      </c>
    </row>
    <row r="22" spans="1:10" x14ac:dyDescent="0.25">
      <c r="A22" s="1" t="s">
        <v>15</v>
      </c>
      <c r="C22" s="8"/>
      <c r="E22" s="1" t="s">
        <v>3</v>
      </c>
      <c r="F22" s="22">
        <v>90</v>
      </c>
      <c r="G22" s="23">
        <v>33</v>
      </c>
      <c r="H22" s="26">
        <v>88</v>
      </c>
      <c r="I22" s="20">
        <f t="shared" si="0"/>
        <v>79.2</v>
      </c>
      <c r="J22" s="9">
        <f t="shared" si="1"/>
        <v>2970</v>
      </c>
    </row>
    <row r="23" spans="1:10" x14ac:dyDescent="0.25">
      <c r="A23" s="1"/>
      <c r="B23" t="str">
        <f>"Mes vaches sont réformées avec "&amp;305-C22&amp;" jours d'avance"</f>
        <v>Mes vaches sont réformées avec 305 jours d'avance</v>
      </c>
      <c r="C23" s="7"/>
      <c r="E23" s="1" t="s">
        <v>4</v>
      </c>
      <c r="F23" s="22">
        <v>40</v>
      </c>
      <c r="G23" s="23">
        <v>35</v>
      </c>
      <c r="H23" s="26">
        <v>88</v>
      </c>
      <c r="I23" s="20">
        <f t="shared" si="0"/>
        <v>35.200000000000003</v>
      </c>
      <c r="J23" s="9">
        <f t="shared" si="1"/>
        <v>1400</v>
      </c>
    </row>
    <row r="24" spans="1:10" x14ac:dyDescent="0.25">
      <c r="A24" s="1"/>
      <c r="B24" t="s">
        <v>16</v>
      </c>
      <c r="C24" s="8"/>
      <c r="E24" s="1" t="s">
        <v>5</v>
      </c>
      <c r="F24" s="22"/>
      <c r="G24" s="23">
        <v>14.7</v>
      </c>
      <c r="H24" s="26">
        <v>32</v>
      </c>
      <c r="I24" s="20">
        <f t="shared" si="0"/>
        <v>0</v>
      </c>
      <c r="J24" s="9">
        <f t="shared" si="1"/>
        <v>0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/>
      <c r="G26" s="23">
        <v>19</v>
      </c>
      <c r="H26" s="26">
        <v>88</v>
      </c>
      <c r="I26" s="20">
        <f t="shared" si="0"/>
        <v>0</v>
      </c>
      <c r="J26" s="9">
        <f t="shared" si="1"/>
        <v>0</v>
      </c>
    </row>
    <row r="27" spans="1:10" x14ac:dyDescent="0.25">
      <c r="A27" s="1" t="s">
        <v>21</v>
      </c>
      <c r="C27" s="9">
        <f>-C24*(305-C22)*C19*C12</f>
        <v>0</v>
      </c>
      <c r="E27" s="1" t="s">
        <v>8</v>
      </c>
      <c r="F27" s="22"/>
      <c r="G27" s="23">
        <v>8.1999999999999993</v>
      </c>
      <c r="H27" s="26">
        <v>30</v>
      </c>
      <c r="I27" s="20">
        <f t="shared" si="0"/>
        <v>0</v>
      </c>
      <c r="J27" s="9">
        <f t="shared" si="1"/>
        <v>0</v>
      </c>
    </row>
    <row r="28" spans="1:10" x14ac:dyDescent="0.25">
      <c r="A28" s="1" t="s">
        <v>22</v>
      </c>
      <c r="C28" s="9">
        <f>C21*C20*C19</f>
        <v>0</v>
      </c>
      <c r="E28" s="1" t="s">
        <v>9</v>
      </c>
      <c r="F28" s="22">
        <v>130</v>
      </c>
      <c r="G28" s="23">
        <v>46</v>
      </c>
      <c r="H28" s="26">
        <v>88</v>
      </c>
      <c r="I28" s="20">
        <f t="shared" si="0"/>
        <v>114.4</v>
      </c>
      <c r="J28" s="9">
        <f t="shared" si="1"/>
        <v>5980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0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0</v>
      </c>
      <c r="E31" s="18" t="s">
        <v>41</v>
      </c>
      <c r="F31" s="21"/>
      <c r="G31" s="21"/>
      <c r="H31" s="21"/>
      <c r="I31" s="21"/>
      <c r="J31" s="19">
        <f>-SUM(J21:J28)</f>
        <v>-10350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0</v>
      </c>
      <c r="E33" s="18" t="s">
        <v>26</v>
      </c>
      <c r="F33" s="21"/>
      <c r="G33" s="21"/>
      <c r="H33" s="21"/>
      <c r="I33" s="21"/>
      <c r="J33" s="19">
        <f>SUM(I21:I28)</f>
        <v>228.8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11" priority="1" operator="greaterThan">
      <formula>0</formula>
    </cfRule>
    <cfRule type="cellIs" dxfId="10" priority="2" operator="equal">
      <formula>0</formula>
    </cfRule>
    <cfRule type="cellIs" dxfId="9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78C-C05F-4B5D-A69E-97A444BA6F72}">
  <sheetPr>
    <pageSetUpPr fitToPage="1"/>
  </sheetPr>
  <dimension ref="A1:AB34"/>
  <sheetViews>
    <sheetView showGridLines="0" topLeftCell="A3" zoomScaleNormal="100" workbookViewId="0">
      <selection activeCell="L21" sqref="L21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50</v>
      </c>
      <c r="B3" s="32"/>
      <c r="C3" s="32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ROUNDUP(-H6/AB8,0)</f>
        <v>4</v>
      </c>
      <c r="AA7" t="s">
        <v>44</v>
      </c>
      <c r="AB7">
        <f>ROUNDUP(C6*IF(C7&lt;6000,55,55*(1+0.0001*(C7-6000))),0)</f>
        <v>2750</v>
      </c>
    </row>
    <row r="8" spans="1:28" ht="7.5" customHeight="1" thickBot="1" x14ac:dyDescent="0.3">
      <c r="A8" s="1"/>
      <c r="C8" s="9"/>
      <c r="E8" s="3"/>
      <c r="F8" s="4"/>
      <c r="G8" s="4"/>
      <c r="H8" s="5"/>
      <c r="AA8" t="s">
        <v>45</v>
      </c>
      <c r="AB8">
        <f>ROUNDUP(IF(C7&lt;6000,55,55*(1+0.0001*(C7-6000))),0)</f>
        <v>69</v>
      </c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0.53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5356.5749999999953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2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>
        <v>9</v>
      </c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>
        <v>650</v>
      </c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>
        <v>3.05</v>
      </c>
      <c r="E21" s="1" t="s">
        <v>56</v>
      </c>
      <c r="F21" s="22"/>
      <c r="G21" s="23">
        <v>60</v>
      </c>
      <c r="H21" s="26">
        <v>88</v>
      </c>
      <c r="I21" s="20">
        <f t="shared" ref="I21:I28" si="0">F21*H21/100</f>
        <v>0</v>
      </c>
      <c r="J21" s="9">
        <f t="shared" ref="J21:J28" si="1">G21*F21</f>
        <v>0</v>
      </c>
    </row>
    <row r="22" spans="1:10" x14ac:dyDescent="0.25">
      <c r="A22" s="1" t="s">
        <v>15</v>
      </c>
      <c r="C22" s="8">
        <v>170</v>
      </c>
      <c r="E22" s="1" t="s">
        <v>3</v>
      </c>
      <c r="F22" s="22"/>
      <c r="G22" s="23">
        <v>33</v>
      </c>
      <c r="H22" s="26">
        <v>88</v>
      </c>
      <c r="I22" s="20">
        <f t="shared" si="0"/>
        <v>0</v>
      </c>
      <c r="J22" s="9">
        <f t="shared" si="1"/>
        <v>0</v>
      </c>
    </row>
    <row r="23" spans="1:10" x14ac:dyDescent="0.25">
      <c r="A23" s="1"/>
      <c r="B23" t="str">
        <f>"Mes vaches sont réformées avec "&amp;305-C22&amp;" jours d'avance"</f>
        <v>Mes vaches sont réformées avec 135 jours d'avance</v>
      </c>
      <c r="C23" s="7"/>
      <c r="E23" s="1" t="s">
        <v>4</v>
      </c>
      <c r="F23" s="22"/>
      <c r="G23" s="23">
        <v>35</v>
      </c>
      <c r="H23" s="26">
        <v>88</v>
      </c>
      <c r="I23" s="20">
        <f t="shared" si="0"/>
        <v>0</v>
      </c>
      <c r="J23" s="9">
        <f t="shared" si="1"/>
        <v>0</v>
      </c>
    </row>
    <row r="24" spans="1:10" x14ac:dyDescent="0.25">
      <c r="A24" s="1"/>
      <c r="B24" t="s">
        <v>16</v>
      </c>
      <c r="C24" s="8">
        <v>24</v>
      </c>
      <c r="E24" s="1" t="s">
        <v>5</v>
      </c>
      <c r="F24" s="22"/>
      <c r="G24" s="23">
        <v>14.7</v>
      </c>
      <c r="H24" s="26">
        <v>32</v>
      </c>
      <c r="I24" s="20">
        <f t="shared" si="0"/>
        <v>0</v>
      </c>
      <c r="J24" s="9">
        <f t="shared" si="1"/>
        <v>0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/>
      <c r="G26" s="23">
        <v>19</v>
      </c>
      <c r="H26" s="26">
        <v>88</v>
      </c>
      <c r="I26" s="20">
        <f t="shared" si="0"/>
        <v>0</v>
      </c>
      <c r="J26" s="9">
        <f t="shared" si="1"/>
        <v>0</v>
      </c>
    </row>
    <row r="27" spans="1:10" x14ac:dyDescent="0.25">
      <c r="A27" s="1" t="s">
        <v>21</v>
      </c>
      <c r="C27" s="9">
        <f>-C24*(305-C22)*C19*C12</f>
        <v>-15454.800000000001</v>
      </c>
      <c r="E27" s="1" t="s">
        <v>8</v>
      </c>
      <c r="F27" s="22"/>
      <c r="G27" s="23">
        <v>8.1999999999999993</v>
      </c>
      <c r="H27" s="26">
        <v>30</v>
      </c>
      <c r="I27" s="20">
        <f t="shared" si="0"/>
        <v>0</v>
      </c>
      <c r="J27" s="9">
        <f t="shared" si="1"/>
        <v>0</v>
      </c>
    </row>
    <row r="28" spans="1:10" x14ac:dyDescent="0.25">
      <c r="A28" s="1" t="s">
        <v>22</v>
      </c>
      <c r="C28" s="9">
        <f>C21*C20*C19</f>
        <v>17842.499999999996</v>
      </c>
      <c r="E28" s="1" t="s">
        <v>9</v>
      </c>
      <c r="F28" s="22"/>
      <c r="G28" s="23">
        <v>46</v>
      </c>
      <c r="H28" s="26">
        <v>88</v>
      </c>
      <c r="I28" s="20">
        <f t="shared" si="0"/>
        <v>0</v>
      </c>
      <c r="J28" s="9">
        <f t="shared" si="1"/>
        <v>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2968.875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5356.5749999999953</v>
      </c>
      <c r="E31" s="18" t="s">
        <v>41</v>
      </c>
      <c r="F31" s="21"/>
      <c r="G31" s="21"/>
      <c r="H31" s="21"/>
      <c r="I31" s="21"/>
      <c r="J31" s="19">
        <f>-SUM(J21:J28)</f>
        <v>0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229</v>
      </c>
      <c r="E33" s="18" t="s">
        <v>26</v>
      </c>
      <c r="F33" s="21"/>
      <c r="G33" s="21"/>
      <c r="H33" s="21"/>
      <c r="I33" s="21"/>
      <c r="J33" s="19">
        <f>SUM(I21:I28)</f>
        <v>0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20" priority="1" operator="greaterThan">
      <formula>0</formula>
    </cfRule>
    <cfRule type="cellIs" dxfId="19" priority="2" operator="equal">
      <formula>0</formula>
    </cfRule>
    <cfRule type="cellIs" dxfId="18" priority="4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1BFF-06C5-4405-889E-9FFAC173B9F1}">
  <dimension ref="A1:AB34"/>
  <sheetViews>
    <sheetView showGridLines="0" topLeftCell="A3" zoomScaleNormal="100" workbookViewId="0">
      <selection activeCell="E22" sqref="E22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49</v>
      </c>
      <c r="B3" s="33"/>
      <c r="C3" s="33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ROUNDUP(-H6/AB8,0)</f>
        <v>4</v>
      </c>
      <c r="AA7" t="s">
        <v>44</v>
      </c>
      <c r="AB7">
        <f>ROUNDUP(C6*IF(C7&lt;6000,55,55*(1+0.0001*(C7-6000))),0)</f>
        <v>2750</v>
      </c>
    </row>
    <row r="8" spans="1:28" ht="7.5" customHeight="1" thickBot="1" x14ac:dyDescent="0.3">
      <c r="A8" s="1"/>
      <c r="C8" s="9"/>
      <c r="E8" s="3"/>
      <c r="F8" s="4"/>
      <c r="G8" s="4"/>
      <c r="H8" s="5"/>
      <c r="AA8" t="s">
        <v>45</v>
      </c>
      <c r="AB8">
        <f>ROUNDUP(IF(C7&lt;6000,55,55*(1+0.0001*(C7-6000))),0)</f>
        <v>69</v>
      </c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0.85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-3974.6250000000036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2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>
        <v>9</v>
      </c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>
        <v>650</v>
      </c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>
        <v>3.05</v>
      </c>
      <c r="E21" s="1" t="s">
        <v>56</v>
      </c>
      <c r="F21" s="22"/>
      <c r="G21" s="23">
        <v>60</v>
      </c>
      <c r="H21" s="26">
        <v>88</v>
      </c>
      <c r="I21" s="20">
        <f t="shared" ref="I21:I28" si="0">F21*H21/100</f>
        <v>0</v>
      </c>
      <c r="J21" s="9">
        <f t="shared" ref="J21:J28" si="1">G21*F21</f>
        <v>0</v>
      </c>
    </row>
    <row r="22" spans="1:10" x14ac:dyDescent="0.25">
      <c r="A22" s="1" t="s">
        <v>15</v>
      </c>
      <c r="C22" s="8">
        <v>170</v>
      </c>
      <c r="E22" s="1" t="s">
        <v>3</v>
      </c>
      <c r="F22" s="22"/>
      <c r="G22" s="23">
        <v>33</v>
      </c>
      <c r="H22" s="26">
        <v>88</v>
      </c>
      <c r="I22" s="20">
        <f t="shared" si="0"/>
        <v>0</v>
      </c>
      <c r="J22" s="9">
        <f t="shared" si="1"/>
        <v>0</v>
      </c>
    </row>
    <row r="23" spans="1:10" x14ac:dyDescent="0.25">
      <c r="A23" s="1"/>
      <c r="B23" t="str">
        <f>"Mes vaches sont réformées avec "&amp;305-C22&amp;" jours d'avance"</f>
        <v>Mes vaches sont réformées avec 135 jours d'avance</v>
      </c>
      <c r="C23" s="7"/>
      <c r="E23" s="1" t="s">
        <v>4</v>
      </c>
      <c r="F23" s="22"/>
      <c r="G23" s="23">
        <v>35</v>
      </c>
      <c r="H23" s="26">
        <v>88</v>
      </c>
      <c r="I23" s="20">
        <f t="shared" si="0"/>
        <v>0</v>
      </c>
      <c r="J23" s="9">
        <f t="shared" si="1"/>
        <v>0</v>
      </c>
    </row>
    <row r="24" spans="1:10" x14ac:dyDescent="0.25">
      <c r="A24" s="1"/>
      <c r="B24" t="s">
        <v>16</v>
      </c>
      <c r="C24" s="8">
        <v>24</v>
      </c>
      <c r="E24" s="1" t="s">
        <v>5</v>
      </c>
      <c r="F24" s="22"/>
      <c r="G24" s="23">
        <v>14.7</v>
      </c>
      <c r="H24" s="26">
        <v>32</v>
      </c>
      <c r="I24" s="20">
        <f t="shared" si="0"/>
        <v>0</v>
      </c>
      <c r="J24" s="9">
        <f t="shared" si="1"/>
        <v>0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/>
      <c r="G26" s="23">
        <v>19</v>
      </c>
      <c r="H26" s="26">
        <v>88</v>
      </c>
      <c r="I26" s="20">
        <f t="shared" si="0"/>
        <v>0</v>
      </c>
      <c r="J26" s="9">
        <f t="shared" si="1"/>
        <v>0</v>
      </c>
    </row>
    <row r="27" spans="1:10" x14ac:dyDescent="0.25">
      <c r="A27" s="1" t="s">
        <v>21</v>
      </c>
      <c r="C27" s="9">
        <f>-C24*(305-C22)*C19*C12</f>
        <v>-24786</v>
      </c>
      <c r="E27" s="1" t="s">
        <v>8</v>
      </c>
      <c r="F27" s="22"/>
      <c r="G27" s="23">
        <v>8.1999999999999993</v>
      </c>
      <c r="H27" s="26">
        <v>30</v>
      </c>
      <c r="I27" s="20">
        <f t="shared" si="0"/>
        <v>0</v>
      </c>
      <c r="J27" s="9">
        <f t="shared" si="1"/>
        <v>0</v>
      </c>
    </row>
    <row r="28" spans="1:10" x14ac:dyDescent="0.25">
      <c r="A28" s="1" t="s">
        <v>22</v>
      </c>
      <c r="C28" s="9">
        <f>C21*C20*C19</f>
        <v>17842.499999999996</v>
      </c>
      <c r="E28" s="1" t="s">
        <v>9</v>
      </c>
      <c r="F28" s="22"/>
      <c r="G28" s="23">
        <v>46</v>
      </c>
      <c r="H28" s="26">
        <v>88</v>
      </c>
      <c r="I28" s="20">
        <f t="shared" si="0"/>
        <v>0</v>
      </c>
      <c r="J28" s="9">
        <f t="shared" si="1"/>
        <v>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2968.875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-3974.6250000000036</v>
      </c>
      <c r="E31" s="18" t="s">
        <v>41</v>
      </c>
      <c r="F31" s="21"/>
      <c r="G31" s="21"/>
      <c r="H31" s="21"/>
      <c r="I31" s="21"/>
      <c r="J31" s="19">
        <f>-SUM(J21:J28)</f>
        <v>0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229</v>
      </c>
      <c r="E33" s="18" t="s">
        <v>26</v>
      </c>
      <c r="F33" s="21"/>
      <c r="G33" s="21"/>
      <c r="H33" s="21"/>
      <c r="I33" s="21"/>
      <c r="J33" s="19">
        <f>SUM(I21:I28)</f>
        <v>0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17" priority="1" operator="greaterThan">
      <formula>0</formula>
    </cfRule>
    <cfRule type="cellIs" dxfId="16" priority="2" operator="equal">
      <formula>0</formula>
    </cfRule>
    <cfRule type="cellIs" dxfId="15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27E9-5BCE-4A6D-82ED-968D27328F64}">
  <dimension ref="A1:AB34"/>
  <sheetViews>
    <sheetView showGridLines="0" tabSelected="1" topLeftCell="A3" zoomScaleNormal="100" workbookViewId="0">
      <selection activeCell="E22" sqref="E22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55</v>
      </c>
      <c r="B3" s="33"/>
      <c r="C3" s="33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ROUNDUP(-H6/AB8,0)</f>
        <v>4</v>
      </c>
      <c r="AA7" t="s">
        <v>44</v>
      </c>
      <c r="AB7">
        <f>ROUNDUP(C6*IF(C7&lt;6000,55,55*(1+0.0001*(C7-6000))),0)</f>
        <v>2750</v>
      </c>
    </row>
    <row r="8" spans="1:28" ht="7.5" customHeight="1" thickBot="1" x14ac:dyDescent="0.3">
      <c r="A8" s="1"/>
      <c r="C8" s="9"/>
      <c r="E8" s="3"/>
      <c r="F8" s="4"/>
      <c r="G8" s="4"/>
      <c r="H8" s="5"/>
      <c r="AA8" t="s">
        <v>45</v>
      </c>
      <c r="AB8">
        <f>ROUNDUP(IF(C7&lt;6000,55,55*(1+0.0001*(C7-6000))),0)</f>
        <v>69</v>
      </c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0.85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-7434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42.279999999999973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/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/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/>
      <c r="E21" s="1" t="s">
        <v>56</v>
      </c>
      <c r="F21" s="22">
        <v>54</v>
      </c>
      <c r="G21" s="23">
        <v>49</v>
      </c>
      <c r="H21" s="26">
        <v>88</v>
      </c>
      <c r="I21" s="20">
        <f t="shared" ref="I21:I28" si="0">F21*H21/100</f>
        <v>47.52</v>
      </c>
      <c r="J21" s="9">
        <f t="shared" ref="J21:J28" si="1">G21*F21</f>
        <v>2646</v>
      </c>
    </row>
    <row r="22" spans="1:10" x14ac:dyDescent="0.25">
      <c r="A22" s="1" t="s">
        <v>15</v>
      </c>
      <c r="C22" s="8"/>
      <c r="E22" s="1" t="s">
        <v>3</v>
      </c>
      <c r="F22" s="22"/>
      <c r="G22" s="23">
        <v>33</v>
      </c>
      <c r="H22" s="26">
        <v>88</v>
      </c>
      <c r="I22" s="20">
        <f t="shared" si="0"/>
        <v>0</v>
      </c>
      <c r="J22" s="9">
        <f t="shared" si="1"/>
        <v>0</v>
      </c>
    </row>
    <row r="23" spans="1:10" x14ac:dyDescent="0.25">
      <c r="A23" s="1"/>
      <c r="B23" t="str">
        <f>"Mes vaches sont réformées avec "&amp;305-C22&amp;" jours d'avance"</f>
        <v>Mes vaches sont réformées avec 305 jours d'avance</v>
      </c>
      <c r="C23" s="7"/>
      <c r="E23" s="1" t="s">
        <v>4</v>
      </c>
      <c r="F23" s="22"/>
      <c r="G23" s="23">
        <v>35</v>
      </c>
      <c r="H23" s="26">
        <v>88</v>
      </c>
      <c r="I23" s="20">
        <f t="shared" si="0"/>
        <v>0</v>
      </c>
      <c r="J23" s="9">
        <f t="shared" si="1"/>
        <v>0</v>
      </c>
    </row>
    <row r="24" spans="1:10" x14ac:dyDescent="0.25">
      <c r="A24" s="1"/>
      <c r="B24" t="s">
        <v>16</v>
      </c>
      <c r="C24" s="8"/>
      <c r="E24" s="1" t="s">
        <v>5</v>
      </c>
      <c r="F24" s="22"/>
      <c r="G24" s="23">
        <v>14.7</v>
      </c>
      <c r="H24" s="26">
        <v>32</v>
      </c>
      <c r="I24" s="20">
        <f t="shared" si="0"/>
        <v>0</v>
      </c>
      <c r="J24" s="9">
        <f t="shared" si="1"/>
        <v>0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>
        <v>252</v>
      </c>
      <c r="G26" s="23">
        <v>19</v>
      </c>
      <c r="H26" s="26">
        <v>88</v>
      </c>
      <c r="I26" s="20">
        <f t="shared" si="0"/>
        <v>221.76</v>
      </c>
      <c r="J26" s="9">
        <f t="shared" si="1"/>
        <v>4788</v>
      </c>
    </row>
    <row r="27" spans="1:10" x14ac:dyDescent="0.25">
      <c r="A27" s="1" t="s">
        <v>21</v>
      </c>
      <c r="C27" s="9">
        <f>-C24*(305-C22)*C19*C12</f>
        <v>0</v>
      </c>
      <c r="E27" s="1" t="s">
        <v>8</v>
      </c>
      <c r="F27" s="22"/>
      <c r="G27" s="23">
        <v>8.1999999999999993</v>
      </c>
      <c r="H27" s="26">
        <v>30</v>
      </c>
      <c r="I27" s="20">
        <f t="shared" si="0"/>
        <v>0</v>
      </c>
      <c r="J27" s="9">
        <f t="shared" si="1"/>
        <v>0</v>
      </c>
    </row>
    <row r="28" spans="1:10" x14ac:dyDescent="0.25">
      <c r="A28" s="1" t="s">
        <v>22</v>
      </c>
      <c r="C28" s="9">
        <f>C21*C20*C19</f>
        <v>0</v>
      </c>
      <c r="E28" s="1" t="s">
        <v>9</v>
      </c>
      <c r="F28" s="22"/>
      <c r="G28" s="23">
        <v>46</v>
      </c>
      <c r="H28" s="26">
        <v>88</v>
      </c>
      <c r="I28" s="20">
        <f t="shared" si="0"/>
        <v>0</v>
      </c>
      <c r="J28" s="9">
        <f t="shared" si="1"/>
        <v>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0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0</v>
      </c>
      <c r="E31" s="18" t="s">
        <v>41</v>
      </c>
      <c r="F31" s="21"/>
      <c r="G31" s="21"/>
      <c r="H31" s="21"/>
      <c r="I31" s="21"/>
      <c r="J31" s="19">
        <f>-SUM(J21:J28)</f>
        <v>-7434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0</v>
      </c>
      <c r="E33" s="18" t="s">
        <v>26</v>
      </c>
      <c r="F33" s="21"/>
      <c r="G33" s="21"/>
      <c r="H33" s="21"/>
      <c r="I33" s="21"/>
      <c r="J33" s="19">
        <f>SUM(I21:I28)</f>
        <v>269.27999999999997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8" priority="1" operator="greaterThan">
      <formula>0</formula>
    </cfRule>
    <cfRule type="cellIs" dxfId="7" priority="2" operator="equal">
      <formula>0</formula>
    </cfRule>
    <cfRule type="cellIs" dxfId="6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E46D-6E74-422C-9AC1-831981FA446C}">
  <dimension ref="A1:AB34"/>
  <sheetViews>
    <sheetView showGridLines="0" zoomScaleNormal="100" workbookViewId="0">
      <selection activeCell="E22" sqref="E22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51</v>
      </c>
      <c r="B3" s="33"/>
      <c r="C3" s="33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  <c r="AA6" t="s">
        <v>44</v>
      </c>
      <c r="AB6">
        <f>ROUNDUP(C6*IF(C7&lt;6000,55,55*(1+0.0001*(C7-6000))),0)</f>
        <v>2750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ROUNDUP(-H6/AB7,0)</f>
        <v>4</v>
      </c>
      <c r="AA7" t="s">
        <v>45</v>
      </c>
      <c r="AB7">
        <f>ROUNDUP(IF(C7&lt;6000,55,55*(1+0.0001*(C7-6000))),0)</f>
        <v>69</v>
      </c>
    </row>
    <row r="8" spans="1:28" ht="7.5" customHeight="1" thickBot="1" x14ac:dyDescent="0.3">
      <c r="A8" s="1"/>
      <c r="C8" s="9"/>
      <c r="E8" s="3"/>
      <c r="F8" s="4"/>
      <c r="G8" s="4"/>
      <c r="H8" s="5"/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0.53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-1728.1250000000018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3.4000000000000057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>
        <v>5</v>
      </c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>
        <v>650</v>
      </c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>
        <v>3.05</v>
      </c>
      <c r="E21" s="1" t="s">
        <v>56</v>
      </c>
      <c r="F21" s="22"/>
      <c r="G21" s="23">
        <v>60</v>
      </c>
      <c r="H21" s="26">
        <v>88</v>
      </c>
      <c r="I21" s="20">
        <f t="shared" ref="I21:I28" si="0">F21*H21/100</f>
        <v>0</v>
      </c>
      <c r="J21" s="9">
        <f t="shared" ref="J21:J28" si="1">G21*F21</f>
        <v>0</v>
      </c>
    </row>
    <row r="22" spans="1:10" x14ac:dyDescent="0.25">
      <c r="A22" s="1" t="s">
        <v>15</v>
      </c>
      <c r="C22" s="8">
        <v>170</v>
      </c>
      <c r="E22" s="1" t="s">
        <v>3</v>
      </c>
      <c r="F22" s="22"/>
      <c r="G22" s="23">
        <v>33</v>
      </c>
      <c r="H22" s="26">
        <v>88</v>
      </c>
      <c r="I22" s="20">
        <f t="shared" si="0"/>
        <v>0</v>
      </c>
      <c r="J22" s="9">
        <f t="shared" si="1"/>
        <v>0</v>
      </c>
    </row>
    <row r="23" spans="1:10" x14ac:dyDescent="0.25">
      <c r="A23" s="1"/>
      <c r="B23" t="str">
        <f>"Mes vaches sont réformées avec "&amp;305-C22&amp;" jours d'avance"</f>
        <v>Mes vaches sont réformées avec 135 jours d'avance</v>
      </c>
      <c r="C23" s="7"/>
      <c r="E23" s="1" t="s">
        <v>4</v>
      </c>
      <c r="F23" s="22"/>
      <c r="G23" s="23">
        <v>35</v>
      </c>
      <c r="H23" s="26">
        <v>88</v>
      </c>
      <c r="I23" s="20">
        <f t="shared" si="0"/>
        <v>0</v>
      </c>
      <c r="J23" s="9">
        <f t="shared" si="1"/>
        <v>0</v>
      </c>
    </row>
    <row r="24" spans="1:10" x14ac:dyDescent="0.25">
      <c r="A24" s="1"/>
      <c r="B24" t="s">
        <v>16</v>
      </c>
      <c r="C24" s="8">
        <v>24</v>
      </c>
      <c r="E24" s="1" t="s">
        <v>5</v>
      </c>
      <c r="F24" s="22">
        <v>320</v>
      </c>
      <c r="G24" s="23">
        <v>14.7</v>
      </c>
      <c r="H24" s="26">
        <v>32</v>
      </c>
      <c r="I24" s="20">
        <f t="shared" si="0"/>
        <v>102.4</v>
      </c>
      <c r="J24" s="9">
        <f t="shared" si="1"/>
        <v>4704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/>
      <c r="G26" s="23">
        <v>19</v>
      </c>
      <c r="H26" s="26">
        <v>88</v>
      </c>
      <c r="I26" s="20">
        <f t="shared" si="0"/>
        <v>0</v>
      </c>
      <c r="J26" s="9">
        <f t="shared" si="1"/>
        <v>0</v>
      </c>
    </row>
    <row r="27" spans="1:10" x14ac:dyDescent="0.25">
      <c r="A27" s="1" t="s">
        <v>21</v>
      </c>
      <c r="C27" s="9">
        <f>-C24*(305-C22)*C19*C12</f>
        <v>-8586</v>
      </c>
      <c r="E27" s="1" t="s">
        <v>8</v>
      </c>
      <c r="F27" s="22"/>
      <c r="G27" s="23">
        <v>8.1999999999999993</v>
      </c>
      <c r="H27" s="26">
        <v>30</v>
      </c>
      <c r="I27" s="20">
        <f t="shared" si="0"/>
        <v>0</v>
      </c>
      <c r="J27" s="9">
        <f t="shared" si="1"/>
        <v>0</v>
      </c>
    </row>
    <row r="28" spans="1:10" x14ac:dyDescent="0.25">
      <c r="A28" s="1" t="s">
        <v>22</v>
      </c>
      <c r="C28" s="9">
        <f>C21*C20*C19</f>
        <v>9912.4999999999982</v>
      </c>
      <c r="E28" s="1" t="s">
        <v>9</v>
      </c>
      <c r="F28" s="22"/>
      <c r="G28" s="23">
        <v>46</v>
      </c>
      <c r="H28" s="26">
        <v>88</v>
      </c>
      <c r="I28" s="20">
        <f t="shared" si="0"/>
        <v>0</v>
      </c>
      <c r="J28" s="9">
        <f t="shared" si="1"/>
        <v>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1649.375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2975.8749999999982</v>
      </c>
      <c r="E31" s="18" t="s">
        <v>41</v>
      </c>
      <c r="F31" s="21"/>
      <c r="G31" s="21"/>
      <c r="H31" s="21"/>
      <c r="I31" s="21"/>
      <c r="J31" s="19">
        <f>-SUM(J21:J28)</f>
        <v>-4704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128</v>
      </c>
      <c r="E33" s="18" t="s">
        <v>26</v>
      </c>
      <c r="F33" s="21"/>
      <c r="G33" s="21"/>
      <c r="H33" s="21"/>
      <c r="I33" s="21"/>
      <c r="J33" s="19">
        <f>SUM(I21:I28)</f>
        <v>102.4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5" priority="1" operator="greaterThan">
      <formula>0</formula>
    </cfRule>
    <cfRule type="cellIs" dxfId="4" priority="2" operator="equal">
      <formula>0</formula>
    </cfRule>
    <cfRule type="cellIs" dxfId="3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D9D2-C35B-44EB-9549-6BBE5CACA4BB}">
  <dimension ref="A1:AB34"/>
  <sheetViews>
    <sheetView showGridLines="0" zoomScaleNormal="100" workbookViewId="0">
      <selection activeCell="E21" sqref="E21"/>
    </sheetView>
  </sheetViews>
  <sheetFormatPr baseColWidth="10" defaultColWidth="11.42578125" defaultRowHeight="15" x14ac:dyDescent="0.25"/>
  <cols>
    <col min="2" max="2" width="49.5703125" customWidth="1"/>
    <col min="5" max="5" width="28.42578125" customWidth="1"/>
    <col min="6" max="6" width="9.85546875" customWidth="1"/>
    <col min="7" max="7" width="9.85546875" bestFit="1" customWidth="1"/>
    <col min="8" max="9" width="9.85546875" customWidth="1"/>
    <col min="10" max="10" width="13.42578125" bestFit="1" customWidth="1"/>
    <col min="11" max="11" width="11.28515625" bestFit="1" customWidth="1"/>
  </cols>
  <sheetData>
    <row r="1" spans="1:28" ht="24.75" thickBot="1" x14ac:dyDescent="0.4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28" ht="7.5" customHeight="1" x14ac:dyDescent="0.25"/>
    <row r="3" spans="1:28" ht="21" x14ac:dyDescent="0.45">
      <c r="A3" s="32" t="s">
        <v>54</v>
      </c>
      <c r="B3" s="33"/>
      <c r="C3" s="33"/>
      <c r="E3" s="30" t="s">
        <v>52</v>
      </c>
    </row>
    <row r="4" spans="1:28" ht="7.5" customHeight="1" thickBot="1" x14ac:dyDescent="0.3"/>
    <row r="5" spans="1:28" x14ac:dyDescent="0.25">
      <c r="A5" s="15" t="s">
        <v>11</v>
      </c>
      <c r="B5" s="16"/>
      <c r="C5" s="17"/>
      <c r="E5" s="15" t="s">
        <v>14</v>
      </c>
      <c r="F5" s="16"/>
      <c r="G5" s="16"/>
      <c r="H5" s="17"/>
    </row>
    <row r="6" spans="1:28" x14ac:dyDescent="0.25">
      <c r="A6" s="1" t="s">
        <v>0</v>
      </c>
      <c r="C6" s="8">
        <v>40</v>
      </c>
      <c r="E6" s="1" t="s">
        <v>28</v>
      </c>
      <c r="H6" s="9">
        <f>-ROUNDUP(C6*IF(C7&lt;6000,55,55*(1+0.0001*(C7-6000)))*(C14/365),0)</f>
        <v>-227</v>
      </c>
      <c r="AA6" t="s">
        <v>44</v>
      </c>
      <c r="AB6">
        <f>ROUNDUP(C6*IF(C7&lt;6000,55,55*(1+0.0001*(C7-6000))),0)</f>
        <v>2750</v>
      </c>
    </row>
    <row r="7" spans="1:28" x14ac:dyDescent="0.25">
      <c r="A7" s="1" t="s">
        <v>13</v>
      </c>
      <c r="C7" s="8">
        <v>8500</v>
      </c>
      <c r="E7" s="1" t="s">
        <v>46</v>
      </c>
      <c r="H7" s="9">
        <f>ROUNDUP(-H6/AB7,0)</f>
        <v>4</v>
      </c>
      <c r="AA7" t="s">
        <v>45</v>
      </c>
      <c r="AB7">
        <f>ROUNDUP(IF(C7&lt;6000,55,55*(1+0.0001*(C7-6000))),0)</f>
        <v>69</v>
      </c>
    </row>
    <row r="8" spans="1:28" ht="7.5" customHeight="1" thickBot="1" x14ac:dyDescent="0.3">
      <c r="A8" s="1"/>
      <c r="C8" s="9"/>
      <c r="E8" s="3"/>
      <c r="F8" s="4"/>
      <c r="G8" s="4"/>
      <c r="H8" s="5"/>
    </row>
    <row r="9" spans="1:28" x14ac:dyDescent="0.25">
      <c r="A9" s="1" t="s">
        <v>17</v>
      </c>
      <c r="C9" s="8">
        <v>1400</v>
      </c>
    </row>
    <row r="10" spans="1:28" x14ac:dyDescent="0.25">
      <c r="A10" s="1" t="s">
        <v>18</v>
      </c>
      <c r="C10" s="8">
        <v>65</v>
      </c>
    </row>
    <row r="11" spans="1:28" ht="7.5" customHeight="1" thickBot="1" x14ac:dyDescent="0.3">
      <c r="A11" s="1"/>
      <c r="C11" s="2"/>
    </row>
    <row r="12" spans="1:28" x14ac:dyDescent="0.25">
      <c r="A12" s="1" t="s">
        <v>10</v>
      </c>
      <c r="C12" s="6">
        <v>0.85</v>
      </c>
      <c r="E12" s="27" t="s">
        <v>29</v>
      </c>
      <c r="F12" s="28"/>
      <c r="G12" s="28"/>
      <c r="H12" s="29"/>
    </row>
    <row r="13" spans="1:28" x14ac:dyDescent="0.25">
      <c r="A13" s="1"/>
      <c r="C13" s="2"/>
      <c r="E13" s="18" t="s">
        <v>42</v>
      </c>
      <c r="H13" s="9">
        <f>C31+J31</f>
        <v>-6248.1250000000018</v>
      </c>
    </row>
    <row r="14" spans="1:28" x14ac:dyDescent="0.25">
      <c r="A14" s="1" t="s">
        <v>12</v>
      </c>
      <c r="C14" s="8">
        <v>30</v>
      </c>
      <c r="E14" s="18" t="s">
        <v>43</v>
      </c>
      <c r="H14" s="9">
        <f>H6+C33+J33</f>
        <v>6.6000000000000085</v>
      </c>
    </row>
    <row r="15" spans="1:28" ht="7.5" customHeight="1" thickBot="1" x14ac:dyDescent="0.3">
      <c r="A15" s="3"/>
      <c r="B15" s="4"/>
      <c r="C15" s="5"/>
      <c r="E15" s="3"/>
      <c r="F15" s="4"/>
      <c r="G15" s="4"/>
      <c r="H15" s="5"/>
    </row>
    <row r="16" spans="1:28" ht="15.75" thickBot="1" x14ac:dyDescent="0.3"/>
    <row r="17" spans="1:10" x14ac:dyDescent="0.25">
      <c r="A17" s="10" t="s">
        <v>24</v>
      </c>
      <c r="B17" s="11"/>
      <c r="C17" s="12"/>
      <c r="E17" s="10" t="s">
        <v>25</v>
      </c>
      <c r="F17" s="11"/>
      <c r="G17" s="11"/>
      <c r="H17" s="11"/>
      <c r="I17" s="11"/>
      <c r="J17" s="12"/>
    </row>
    <row r="18" spans="1:10" x14ac:dyDescent="0.25">
      <c r="A18" s="1"/>
      <c r="C18" s="2"/>
      <c r="E18" s="1"/>
      <c r="J18" s="2"/>
    </row>
    <row r="19" spans="1:10" x14ac:dyDescent="0.25">
      <c r="A19" s="1" t="s">
        <v>1</v>
      </c>
      <c r="C19" s="8">
        <v>5</v>
      </c>
      <c r="E19" s="1"/>
      <c r="F19" s="24" t="s">
        <v>30</v>
      </c>
      <c r="G19" s="24" t="s">
        <v>32</v>
      </c>
      <c r="H19" s="24" t="s">
        <v>34</v>
      </c>
      <c r="I19" s="24" t="s">
        <v>36</v>
      </c>
      <c r="J19" s="13" t="s">
        <v>39</v>
      </c>
    </row>
    <row r="20" spans="1:10" x14ac:dyDescent="0.25">
      <c r="A20" s="1" t="s">
        <v>19</v>
      </c>
      <c r="C20" s="8">
        <v>650</v>
      </c>
      <c r="E20" s="1" t="s">
        <v>2</v>
      </c>
      <c r="F20" s="25" t="s">
        <v>31</v>
      </c>
      <c r="G20" s="25" t="s">
        <v>33</v>
      </c>
      <c r="H20" s="25" t="s">
        <v>35</v>
      </c>
      <c r="I20" s="25" t="s">
        <v>37</v>
      </c>
      <c r="J20" s="14" t="s">
        <v>38</v>
      </c>
    </row>
    <row r="21" spans="1:10" x14ac:dyDescent="0.25">
      <c r="A21" s="1" t="s">
        <v>20</v>
      </c>
      <c r="C21" s="6">
        <v>3.05</v>
      </c>
      <c r="E21" s="1" t="s">
        <v>56</v>
      </c>
      <c r="F21" s="22"/>
      <c r="G21" s="23">
        <v>60</v>
      </c>
      <c r="H21" s="26">
        <v>88</v>
      </c>
      <c r="I21" s="20">
        <f t="shared" ref="I21:I28" si="0">F21*H21/100</f>
        <v>0</v>
      </c>
      <c r="J21" s="9">
        <f t="shared" ref="J21:J28" si="1">G21*F21</f>
        <v>0</v>
      </c>
    </row>
    <row r="22" spans="1:10" x14ac:dyDescent="0.25">
      <c r="A22" s="1" t="s">
        <v>15</v>
      </c>
      <c r="C22" s="8">
        <v>170</v>
      </c>
      <c r="E22" s="1" t="s">
        <v>3</v>
      </c>
      <c r="F22" s="22">
        <v>80</v>
      </c>
      <c r="G22" s="23">
        <v>33</v>
      </c>
      <c r="H22" s="26">
        <v>88</v>
      </c>
      <c r="I22" s="20">
        <f t="shared" si="0"/>
        <v>70.400000000000006</v>
      </c>
      <c r="J22" s="9">
        <f t="shared" si="1"/>
        <v>2640</v>
      </c>
    </row>
    <row r="23" spans="1:10" x14ac:dyDescent="0.25">
      <c r="A23" s="1"/>
      <c r="B23" t="str">
        <f>"Mes vaches sont réformées avec "&amp;305-C22&amp;" jours d'avance"</f>
        <v>Mes vaches sont réformées avec 135 jours d'avance</v>
      </c>
      <c r="C23" s="7"/>
      <c r="E23" s="1" t="s">
        <v>4</v>
      </c>
      <c r="F23" s="22">
        <v>40</v>
      </c>
      <c r="G23" s="23">
        <v>35</v>
      </c>
      <c r="H23" s="26">
        <v>88</v>
      </c>
      <c r="I23" s="20">
        <f t="shared" si="0"/>
        <v>35.200000000000003</v>
      </c>
      <c r="J23" s="9">
        <f t="shared" si="1"/>
        <v>1400</v>
      </c>
    </row>
    <row r="24" spans="1:10" x14ac:dyDescent="0.25">
      <c r="A24" s="1"/>
      <c r="B24" t="s">
        <v>16</v>
      </c>
      <c r="C24" s="8">
        <v>24</v>
      </c>
      <c r="E24" s="1" t="s">
        <v>5</v>
      </c>
      <c r="F24" s="22"/>
      <c r="G24" s="23">
        <v>14.7</v>
      </c>
      <c r="H24" s="26">
        <v>32</v>
      </c>
      <c r="I24" s="20">
        <f t="shared" si="0"/>
        <v>0</v>
      </c>
      <c r="J24" s="9">
        <f t="shared" si="1"/>
        <v>0</v>
      </c>
    </row>
    <row r="25" spans="1:10" x14ac:dyDescent="0.25">
      <c r="A25" s="1"/>
      <c r="C25" s="7"/>
      <c r="E25" s="1" t="s">
        <v>6</v>
      </c>
      <c r="F25" s="22"/>
      <c r="G25" s="23">
        <v>39</v>
      </c>
      <c r="H25" s="26">
        <v>88</v>
      </c>
      <c r="I25" s="20">
        <f t="shared" si="0"/>
        <v>0</v>
      </c>
      <c r="J25" s="9">
        <f t="shared" si="1"/>
        <v>0</v>
      </c>
    </row>
    <row r="26" spans="1:10" x14ac:dyDescent="0.25">
      <c r="A26" s="1" t="s">
        <v>40</v>
      </c>
      <c r="C26" s="7"/>
      <c r="E26" s="1" t="s">
        <v>7</v>
      </c>
      <c r="F26" s="22"/>
      <c r="G26" s="23">
        <v>19</v>
      </c>
      <c r="H26" s="26">
        <v>88</v>
      </c>
      <c r="I26" s="20">
        <f t="shared" si="0"/>
        <v>0</v>
      </c>
      <c r="J26" s="9">
        <f t="shared" si="1"/>
        <v>0</v>
      </c>
    </row>
    <row r="27" spans="1:10" x14ac:dyDescent="0.25">
      <c r="A27" s="1" t="s">
        <v>21</v>
      </c>
      <c r="C27" s="9">
        <f>-C24*(305-C22)*C19*C12</f>
        <v>-13770</v>
      </c>
      <c r="E27" s="1" t="s">
        <v>8</v>
      </c>
      <c r="F27" s="22"/>
      <c r="G27" s="23">
        <v>8.1999999999999993</v>
      </c>
      <c r="H27" s="26">
        <v>30</v>
      </c>
      <c r="I27" s="20">
        <f t="shared" si="0"/>
        <v>0</v>
      </c>
      <c r="J27" s="9">
        <f t="shared" si="1"/>
        <v>0</v>
      </c>
    </row>
    <row r="28" spans="1:10" x14ac:dyDescent="0.25">
      <c r="A28" s="1" t="s">
        <v>22</v>
      </c>
      <c r="C28" s="9">
        <f>C21*C20*C19</f>
        <v>9912.4999999999982</v>
      </c>
      <c r="E28" s="1" t="s">
        <v>9</v>
      </c>
      <c r="F28" s="22"/>
      <c r="G28" s="23">
        <v>46</v>
      </c>
      <c r="H28" s="26">
        <v>88</v>
      </c>
      <c r="I28" s="20">
        <f t="shared" si="0"/>
        <v>0</v>
      </c>
      <c r="J28" s="9">
        <f t="shared" si="1"/>
        <v>0</v>
      </c>
    </row>
    <row r="29" spans="1:10" x14ac:dyDescent="0.25">
      <c r="A29" s="1" t="s">
        <v>23</v>
      </c>
      <c r="C29" s="9">
        <f>(IF(C22&gt;200,0,200-C22)*(C9*0.75/200)+IF(C22&gt;200,305-C22,105)*(C9*0.25/105))*C19*C10/100</f>
        <v>1649.375</v>
      </c>
      <c r="E29" s="1"/>
      <c r="J29" s="2"/>
    </row>
    <row r="30" spans="1:10" x14ac:dyDescent="0.25">
      <c r="A30" s="1"/>
      <c r="C30" s="9"/>
      <c r="E30" s="1"/>
      <c r="J30" s="2"/>
    </row>
    <row r="31" spans="1:10" x14ac:dyDescent="0.25">
      <c r="A31" s="18" t="s">
        <v>41</v>
      </c>
      <c r="B31" s="21"/>
      <c r="C31" s="19">
        <f>SUM(C27:C29)</f>
        <v>-2208.1250000000018</v>
      </c>
      <c r="E31" s="18" t="s">
        <v>41</v>
      </c>
      <c r="F31" s="21"/>
      <c r="G31" s="21"/>
      <c r="H31" s="21"/>
      <c r="I31" s="21"/>
      <c r="J31" s="19">
        <f>-SUM(J21:J28)</f>
        <v>-4040</v>
      </c>
    </row>
    <row r="32" spans="1:10" x14ac:dyDescent="0.25">
      <c r="A32" s="18"/>
      <c r="B32" s="21"/>
      <c r="C32" s="19"/>
      <c r="E32" s="18"/>
      <c r="F32" s="21"/>
      <c r="G32" s="21"/>
      <c r="H32" s="21"/>
      <c r="I32" s="21"/>
      <c r="J32" s="19"/>
    </row>
    <row r="33" spans="1:10" x14ac:dyDescent="0.25">
      <c r="A33" s="18" t="s">
        <v>27</v>
      </c>
      <c r="B33" s="21"/>
      <c r="C33" s="19">
        <f>ROUNDUP(C19*IF(C7&lt;6000,55,55*(1+0.0001*(C7-6000))*(305-C22)/365),0)</f>
        <v>128</v>
      </c>
      <c r="E33" s="18" t="s">
        <v>26</v>
      </c>
      <c r="F33" s="21"/>
      <c r="G33" s="21"/>
      <c r="H33" s="21"/>
      <c r="I33" s="21"/>
      <c r="J33" s="19">
        <f>SUM(I21:I28)</f>
        <v>105.60000000000001</v>
      </c>
    </row>
    <row r="34" spans="1:10" ht="7.5" customHeight="1" thickBot="1" x14ac:dyDescent="0.3">
      <c r="A34" s="3"/>
      <c r="B34" s="4"/>
      <c r="C34" s="5"/>
      <c r="E34" s="3"/>
      <c r="F34" s="4"/>
      <c r="G34" s="4"/>
      <c r="H34" s="4"/>
      <c r="I34" s="4"/>
      <c r="J34" s="5"/>
    </row>
  </sheetData>
  <sheetProtection sheet="1" objects="1" scenarios="1"/>
  <mergeCells count="2">
    <mergeCell ref="A1:J1"/>
    <mergeCell ref="A3:C3"/>
  </mergeCells>
  <conditionalFormatting sqref="H13:H14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87" orientation="landscape" r:id="rId1"/>
  <headerFooter>
    <oddFooter>&amp;LFRI&amp;R&amp;D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928EE5CB940A478E8519B488F20D45" ma:contentTypeVersion="25" ma:contentTypeDescription="Crée un document." ma:contentTypeScope="" ma:versionID="5c880014d1a43a0ba75d7e72f770635c">
  <xsd:schema xmlns:xsd="http://www.w3.org/2001/XMLSchema" xmlns:xs="http://www.w3.org/2001/XMLSchema" xmlns:p="http://schemas.microsoft.com/office/2006/metadata/properties" xmlns:ns1="http://schemas.microsoft.com/sharepoint/v3" xmlns:ns2="8394a41b-3f0a-4b2b-bcf5-d4601073836f" xmlns:ns3="1eb871fe-9463-4134-b0e8-ce628b4b5495" targetNamespace="http://schemas.microsoft.com/office/2006/metadata/properties" ma:root="true" ma:fieldsID="f2c5f12eec02fd710a7f496c11d4eb49" ns1:_="" ns2:_="" ns3:_="">
    <xsd:import namespace="http://schemas.microsoft.com/sharepoint/v3"/>
    <xsd:import namespace="8394a41b-3f0a-4b2b-bcf5-d4601073836f"/>
    <xsd:import namespace="1eb871fe-9463-4134-b0e8-ce628b4b5495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Th_x00e9_matiqu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4a41b-3f0a-4b2b-bcf5-d4601073836f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État de validation" ma:internalName="_x00c9_tat_x0020_de_x0020_validation" ma:readOnly="false">
      <xsd:simpleType>
        <xsd:restriction base="dms:Text"/>
      </xsd:simpleType>
    </xsd:element>
    <xsd:element name="Th_x00e9_matique" ma:index="3" nillable="true" ma:displayName="Thématique" ma:format="Dropdown" ma:internalName="Th_x00e9_matiq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égislation générale"/>
                    <xsd:enumeration value="Agriculture en général"/>
                    <xsd:enumeration value="Paiements directs &amp; autres contributions"/>
                    <xsd:enumeration value="Propriété foncière rurale &amp; bail à ferme"/>
                    <xsd:enumeration value="Améliorations structurelles"/>
                    <xsd:enumeration value="Fiscalité"/>
                    <xsd:enumeration value="Aménagement du territoire"/>
                    <xsd:enumeration value="Protection des animaux"/>
                    <xsd:enumeration value="Protection des eaux"/>
                    <xsd:enumeration value="Contrat type de travail &amp; prévoyance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Balises d’images" ma:readOnly="false" ma:fieldId="{5cf76f15-5ced-4ddc-b409-7134ff3c332f}" ma:taxonomyMulti="true" ma:sspId="6ee0a7d4-03bd-457a-9d9a-0899bbec8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871fe-9463-4134-b0e8-ce628b4b549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gé avec dé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394a41b-3f0a-4b2b-bcf5-d4601073836f">
      <Terms xmlns="http://schemas.microsoft.com/office/infopath/2007/PartnerControls"/>
    </lcf76f155ced4ddcb4097134ff3c332f>
    <Th_x00e9_matique xmlns="8394a41b-3f0a-4b2b-bcf5-d4601073836f" xsi:nil="true"/>
    <_ip_UnifiedCompliancePolicyProperties xmlns="http://schemas.microsoft.com/sharepoint/v3" xsi:nil="true"/>
    <_Flow_SignoffStatus xmlns="8394a41b-3f0a-4b2b-bcf5-d4601073836f" xsi:nil="true"/>
  </documentManagement>
</p:properties>
</file>

<file path=customXml/itemProps1.xml><?xml version="1.0" encoding="utf-8"?>
<ds:datastoreItem xmlns:ds="http://schemas.openxmlformats.org/officeDocument/2006/customXml" ds:itemID="{78936FC7-41D2-4604-9596-915962BC0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4F92E-BE8A-4C41-B811-A08CFEFD3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94a41b-3f0a-4b2b-bcf5-d4601073836f"/>
    <ds:schemaRef ds:uri="1eb871fe-9463-4134-b0e8-ce628b4b5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B2F013-0B00-47C8-99AB-87AB5ADF4FB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1eb871fe-9463-4134-b0e8-ce628b4b5495"/>
    <ds:schemaRef ds:uri="8394a41b-3f0a-4b2b-bcf5-d46010738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Achats ENS</vt:lpstr>
      <vt:lpstr>Achats FR</vt:lpstr>
      <vt:lpstr>Réforme ENS</vt:lpstr>
      <vt:lpstr>Réforme FR</vt:lpstr>
      <vt:lpstr>Achats paille</vt:lpstr>
      <vt:lpstr>Mixte ENS</vt:lpstr>
      <vt:lpstr>Mixte FR</vt:lpstr>
      <vt:lpstr>'Achats ENS'!Zone_d_impression</vt:lpstr>
      <vt:lpstr>'Achats FR'!Zone_d_impression</vt:lpstr>
      <vt:lpstr>'Achats paille'!Zone_d_impression</vt:lpstr>
      <vt:lpstr>'Mixte ENS'!Zone_d_impression</vt:lpstr>
      <vt:lpstr>'Mixte FR'!Zone_d_impression</vt:lpstr>
      <vt:lpstr>'Réforme ENS'!Zone_d_impression</vt:lpstr>
      <vt:lpstr>'Réforme FR'!Zone_d_impression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Poupon Mathilde</dc:creator>
  <cp:keywords/>
  <dc:description/>
  <cp:lastModifiedBy>Altermath Jocelyn</cp:lastModifiedBy>
  <cp:revision/>
  <cp:lastPrinted>2026-07-21T08:41:37Z</cp:lastPrinted>
  <dcterms:created xsi:type="dcterms:W3CDTF">2026-07-16T11:45:35Z</dcterms:created>
  <dcterms:modified xsi:type="dcterms:W3CDTF">2026-07-23T07:18:26Z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0x010100F0928EE5CB940A478E8519B488F20D45</vt:lpwstr>
  </property>
  <property fmtid="{D5CDD505-2E9C-101B-9397-08002B2CF9AE}" pid="3" name="MediaServiceImageTags">
    <vt:lpwstr/>
  </property>
</Properties>
</file>